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0" yWindow="0" windowWidth="10212" windowHeight="7668"/>
  </bookViews>
  <sheets>
    <sheet name="дод3" sheetId="1" r:id="rId1"/>
  </sheets>
  <definedNames>
    <definedName name="_xlnm._FilterDatabase" localSheetId="0" hidden="1">дод3!$A$13:$R$77</definedName>
    <definedName name="_xlnm.Print_Titles" localSheetId="0">дод3!$9:$13</definedName>
    <definedName name="_xlnm.Print_Area" localSheetId="0">дод3!$A$1:$P$83</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48" i="1" l="1"/>
  <c r="F29" i="1"/>
  <c r="F22" i="1"/>
  <c r="F17" i="1"/>
  <c r="I30" i="1"/>
  <c r="F18" i="1" l="1"/>
  <c r="F20" i="1"/>
  <c r="H52" i="1" l="1"/>
  <c r="F52" i="1"/>
  <c r="H49" i="1"/>
  <c r="F49" i="1"/>
  <c r="F48" i="1"/>
  <c r="G17" i="1" l="1"/>
  <c r="H74" i="1" l="1"/>
  <c r="F74" i="1"/>
  <c r="G68" i="1"/>
  <c r="F68" i="1"/>
  <c r="G56" i="1"/>
  <c r="G53" i="1"/>
  <c r="F53" i="1"/>
  <c r="G52" i="1"/>
  <c r="G51" i="1"/>
  <c r="F51" i="1"/>
  <c r="G50" i="1"/>
  <c r="G47" i="1"/>
  <c r="F39" i="1"/>
  <c r="H24" i="1"/>
  <c r="H17" i="1"/>
  <c r="F16" i="1"/>
  <c r="O52" i="1"/>
  <c r="K52" i="1"/>
  <c r="O49" i="1"/>
  <c r="K49" i="1"/>
  <c r="F40" i="1"/>
  <c r="G25" i="1"/>
  <c r="F25" i="1"/>
  <c r="G24" i="1"/>
  <c r="F24" i="1"/>
  <c r="O18" i="1"/>
  <c r="K18" i="1"/>
  <c r="F31" i="1" l="1"/>
  <c r="I31" i="1"/>
  <c r="H31" i="1" l="1"/>
  <c r="H16" i="1"/>
  <c r="F69" i="1" l="1"/>
  <c r="H67" i="1"/>
  <c r="F67" i="1"/>
  <c r="F55" i="1"/>
  <c r="F54" i="1"/>
  <c r="G49" i="1"/>
  <c r="O48" i="1"/>
  <c r="K48" i="1"/>
  <c r="F47" i="1"/>
  <c r="F33" i="1"/>
  <c r="O31" i="1"/>
  <c r="K31" i="1"/>
  <c r="O17" i="1"/>
  <c r="K17" i="1"/>
  <c r="O16" i="1"/>
  <c r="K16" i="1"/>
  <c r="O76" i="1"/>
  <c r="K76" i="1"/>
  <c r="F76" i="1"/>
  <c r="F34" i="1"/>
  <c r="F15" i="1" s="1"/>
  <c r="E26" i="1"/>
  <c r="P26" i="1" s="1"/>
  <c r="F23" i="1"/>
  <c r="O28" i="1" l="1"/>
  <c r="K28" i="1"/>
  <c r="N15" i="1" l="1"/>
  <c r="M15" i="1"/>
  <c r="L15" i="1"/>
  <c r="J44" i="1"/>
  <c r="E44" i="1"/>
  <c r="P44" i="1" l="1"/>
  <c r="H68" i="1"/>
  <c r="O67" i="1"/>
  <c r="K67" i="1"/>
  <c r="H55" i="1"/>
  <c r="H53" i="1"/>
  <c r="O47" i="1" l="1"/>
  <c r="K47" i="1"/>
  <c r="H47" i="1"/>
  <c r="O68" i="1"/>
  <c r="K68" i="1"/>
  <c r="I15" i="1"/>
  <c r="J65" i="1" l="1"/>
  <c r="E65" i="1"/>
  <c r="P65" i="1" l="1"/>
  <c r="G64" i="1"/>
  <c r="F64" i="1"/>
  <c r="F70" i="1" l="1"/>
  <c r="F42" i="1"/>
  <c r="F75" i="1" l="1"/>
  <c r="J63" i="1"/>
  <c r="E63" i="1"/>
  <c r="F56" i="1"/>
  <c r="P63" i="1" l="1"/>
  <c r="O75" i="1"/>
  <c r="K75" i="1"/>
  <c r="F50" i="1" l="1"/>
  <c r="O74" i="1" l="1"/>
  <c r="K74" i="1"/>
  <c r="O15" i="1" l="1"/>
  <c r="K15" i="1"/>
  <c r="F27" i="1" l="1"/>
  <c r="J38" i="1"/>
  <c r="E38" i="1"/>
  <c r="P38" i="1" l="1"/>
  <c r="J21" i="1" l="1"/>
  <c r="E21" i="1"/>
  <c r="O60" i="1"/>
  <c r="K60" i="1"/>
  <c r="F41" i="1"/>
  <c r="O61" i="1"/>
  <c r="H25" i="1"/>
  <c r="H15" i="1" s="1"/>
  <c r="P21" i="1" l="1"/>
  <c r="G74" i="1" l="1"/>
  <c r="G16" i="1"/>
  <c r="G15" i="1" s="1"/>
  <c r="O73" i="1" l="1"/>
  <c r="J76" i="1"/>
  <c r="E76" i="1"/>
  <c r="K73" i="1"/>
  <c r="I73" i="1"/>
  <c r="H73" i="1"/>
  <c r="G73" i="1"/>
  <c r="F73" i="1"/>
  <c r="L73" i="1"/>
  <c r="E74" i="1"/>
  <c r="P76" i="1" l="1"/>
  <c r="N73" i="1"/>
  <c r="N72" i="1" s="1"/>
  <c r="M73" i="1"/>
  <c r="M72" i="1" s="1"/>
  <c r="L72" i="1"/>
  <c r="G72" i="1"/>
  <c r="F72" i="1"/>
  <c r="O72" i="1"/>
  <c r="K72" i="1"/>
  <c r="I72" i="1"/>
  <c r="H72" i="1"/>
  <c r="O46" i="1"/>
  <c r="O45" i="1" s="1"/>
  <c r="N46" i="1"/>
  <c r="N45" i="1" s="1"/>
  <c r="M46" i="1"/>
  <c r="M45" i="1" s="1"/>
  <c r="L46" i="1"/>
  <c r="L45" i="1" s="1"/>
  <c r="K46" i="1"/>
  <c r="K45" i="1" s="1"/>
  <c r="I46" i="1"/>
  <c r="I45" i="1" s="1"/>
  <c r="H46" i="1"/>
  <c r="H45" i="1" s="1"/>
  <c r="G46" i="1"/>
  <c r="G45" i="1" s="1"/>
  <c r="F46" i="1"/>
  <c r="F45" i="1" s="1"/>
  <c r="N14" i="1"/>
  <c r="M14" i="1"/>
  <c r="L14" i="1"/>
  <c r="K14" i="1"/>
  <c r="I14" i="1"/>
  <c r="H14" i="1"/>
  <c r="G14" i="1"/>
  <c r="F14" i="1"/>
  <c r="J75" i="1"/>
  <c r="J74" i="1"/>
  <c r="J71" i="1"/>
  <c r="J70" i="1"/>
  <c r="J69" i="1"/>
  <c r="J68" i="1"/>
  <c r="J67" i="1"/>
  <c r="J66" i="1"/>
  <c r="J64" i="1"/>
  <c r="J62" i="1"/>
  <c r="J61" i="1"/>
  <c r="J60" i="1"/>
  <c r="J59" i="1"/>
  <c r="J58" i="1"/>
  <c r="J57" i="1"/>
  <c r="J56" i="1"/>
  <c r="J55" i="1"/>
  <c r="J54" i="1"/>
  <c r="J53" i="1"/>
  <c r="J52" i="1"/>
  <c r="J51" i="1"/>
  <c r="J50" i="1"/>
  <c r="J49" i="1"/>
  <c r="J48" i="1"/>
  <c r="J47" i="1"/>
  <c r="J43" i="1"/>
  <c r="J42" i="1"/>
  <c r="J41" i="1"/>
  <c r="J40" i="1"/>
  <c r="J39" i="1"/>
  <c r="J37" i="1"/>
  <c r="J36" i="1"/>
  <c r="J35" i="1"/>
  <c r="J34" i="1"/>
  <c r="J33" i="1"/>
  <c r="J32" i="1"/>
  <c r="J31" i="1"/>
  <c r="J30" i="1"/>
  <c r="J29" i="1"/>
  <c r="J27" i="1"/>
  <c r="J25" i="1"/>
  <c r="J24" i="1"/>
  <c r="J23" i="1"/>
  <c r="J22" i="1"/>
  <c r="J20" i="1"/>
  <c r="J19" i="1"/>
  <c r="J18" i="1"/>
  <c r="J17" i="1"/>
  <c r="J16" i="1"/>
  <c r="E75" i="1"/>
  <c r="E73" i="1" s="1"/>
  <c r="E72" i="1" s="1"/>
  <c r="E71" i="1"/>
  <c r="E70" i="1"/>
  <c r="E69" i="1"/>
  <c r="E68" i="1"/>
  <c r="E67" i="1"/>
  <c r="E66" i="1"/>
  <c r="E64" i="1"/>
  <c r="E62" i="1"/>
  <c r="E61" i="1"/>
  <c r="E60" i="1"/>
  <c r="E59" i="1"/>
  <c r="E58" i="1"/>
  <c r="E57" i="1"/>
  <c r="E56" i="1"/>
  <c r="E55" i="1"/>
  <c r="E54" i="1"/>
  <c r="E53" i="1"/>
  <c r="E52" i="1"/>
  <c r="E51" i="1"/>
  <c r="E50" i="1"/>
  <c r="E49" i="1"/>
  <c r="E48" i="1"/>
  <c r="E47" i="1"/>
  <c r="E43" i="1"/>
  <c r="E42" i="1"/>
  <c r="E41" i="1"/>
  <c r="E40" i="1"/>
  <c r="E39" i="1"/>
  <c r="E37" i="1"/>
  <c r="E36" i="1"/>
  <c r="E35" i="1"/>
  <c r="E34" i="1"/>
  <c r="E33" i="1"/>
  <c r="E32" i="1"/>
  <c r="E31" i="1"/>
  <c r="E30" i="1"/>
  <c r="E29" i="1"/>
  <c r="E28" i="1"/>
  <c r="E27" i="1"/>
  <c r="E25" i="1"/>
  <c r="E24" i="1"/>
  <c r="E23" i="1"/>
  <c r="E22" i="1"/>
  <c r="E20" i="1"/>
  <c r="E19" i="1"/>
  <c r="E18" i="1"/>
  <c r="E17" i="1"/>
  <c r="E16" i="1"/>
  <c r="J28" i="1"/>
  <c r="E15" i="1" l="1"/>
  <c r="E14" i="1" s="1"/>
  <c r="J15" i="1"/>
  <c r="J14" i="1" s="1"/>
  <c r="O14" i="1"/>
  <c r="O77" i="1" s="1"/>
  <c r="O89" i="1" s="1"/>
  <c r="P60" i="1"/>
  <c r="P28" i="1"/>
  <c r="J73" i="1"/>
  <c r="J72" i="1" s="1"/>
  <c r="P72" i="1" s="1"/>
  <c r="P40" i="1"/>
  <c r="P58" i="1"/>
  <c r="P66" i="1"/>
  <c r="P70" i="1"/>
  <c r="M77" i="1"/>
  <c r="M89" i="1" s="1"/>
  <c r="P62" i="1"/>
  <c r="P42" i="1"/>
  <c r="P57" i="1"/>
  <c r="P64" i="1"/>
  <c r="J46" i="1"/>
  <c r="J45" i="1" s="1"/>
  <c r="H77" i="1"/>
  <c r="H89" i="1" s="1"/>
  <c r="E46" i="1"/>
  <c r="E45" i="1" s="1"/>
  <c r="K77" i="1"/>
  <c r="K89" i="1" s="1"/>
  <c r="F77" i="1"/>
  <c r="F89" i="1" s="1"/>
  <c r="G77" i="1"/>
  <c r="G89" i="1" s="1"/>
  <c r="N77" i="1"/>
  <c r="N89" i="1" s="1"/>
  <c r="L77" i="1"/>
  <c r="L89" i="1" s="1"/>
  <c r="I77" i="1"/>
  <c r="I89" i="1" s="1"/>
  <c r="P59" i="1"/>
  <c r="P61" i="1"/>
  <c r="P75" i="1"/>
  <c r="P74" i="1"/>
  <c r="P71" i="1"/>
  <c r="P69" i="1"/>
  <c r="P68" i="1"/>
  <c r="P67" i="1"/>
  <c r="P56" i="1"/>
  <c r="P55" i="1"/>
  <c r="P54" i="1"/>
  <c r="P53" i="1"/>
  <c r="P52" i="1"/>
  <c r="P51" i="1"/>
  <c r="P50" i="1"/>
  <c r="P49" i="1"/>
  <c r="P48" i="1"/>
  <c r="P47" i="1"/>
  <c r="P43" i="1"/>
  <c r="P41" i="1"/>
  <c r="P39" i="1"/>
  <c r="P37" i="1"/>
  <c r="P36" i="1"/>
  <c r="P35" i="1"/>
  <c r="P34" i="1"/>
  <c r="P33" i="1"/>
  <c r="P32" i="1"/>
  <c r="P31" i="1"/>
  <c r="P30" i="1"/>
  <c r="P29" i="1"/>
  <c r="P27" i="1"/>
  <c r="P25" i="1"/>
  <c r="P24" i="1"/>
  <c r="P23" i="1"/>
  <c r="P22" i="1"/>
  <c r="P20" i="1"/>
  <c r="P19" i="1"/>
  <c r="P18" i="1"/>
  <c r="P17" i="1"/>
  <c r="P16" i="1"/>
  <c r="J77" i="1" l="1"/>
  <c r="J89" i="1" s="1"/>
  <c r="P46" i="1"/>
  <c r="P15" i="1"/>
  <c r="E77" i="1"/>
  <c r="E89" i="1" s="1"/>
  <c r="P14" i="1"/>
  <c r="P45" i="1"/>
  <c r="P73" i="1"/>
  <c r="P77" i="1" l="1"/>
  <c r="P89" i="1" s="1"/>
</calcChain>
</file>

<file path=xl/sharedStrings.xml><?xml version="1.0" encoding="utf-8"?>
<sst xmlns="http://schemas.openxmlformats.org/spreadsheetml/2006/main" count="264" uniqueCount="217">
  <si>
    <t>Додаток 3</t>
  </si>
  <si>
    <t>РОЗПОДІЛ</t>
  </si>
  <si>
    <t>0754900000</t>
  </si>
  <si>
    <t>(код бюджету)</t>
  </si>
  <si>
    <t>(грн.)</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</si>
  <si>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</si>
  <si>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</si>
  <si>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</si>
  <si>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Найменування головного розпорядника коштів місцевого бюджету/ відповідального виконавця, найменування бюджетної програми згідно з Типовою програмною класифікацією видатків та кредитування місцевого бюджету</t>
  </si>
  <si>
    <t>Загальний фонд</t>
  </si>
  <si>
    <t>усього</t>
  </si>
  <si>
    <t>видатки споживання</t>
  </si>
  <si>
    <t>з них</t>
  </si>
  <si>
    <t>оплата праці</t>
  </si>
  <si>
    <t>комунальні послуги та енергоносії</t>
  </si>
  <si>
    <t>видатки розвитку</t>
  </si>
  <si>
    <t>Спеціальний фонд</t>
  </si>
  <si>
    <t>у тому числі бюджет розвитку</t>
  </si>
  <si>
    <t>РАЗОМ</t>
  </si>
  <si>
    <t>0100000</t>
  </si>
  <si>
    <t/>
  </si>
  <si>
    <t>0110000</t>
  </si>
  <si>
    <t>0110150</t>
  </si>
  <si>
    <t>0150</t>
  </si>
  <si>
    <t>0111</t>
  </si>
  <si>
    <t>Організаційне, інформаційно-аналітичне та матеріально-технічне забезпечення діяльності обласної ради, районної ради, районної у місті ради (у разі її створення), міської, селищної, сільської рад</t>
  </si>
  <si>
    <t>0110180</t>
  </si>
  <si>
    <t>0180</t>
  </si>
  <si>
    <t>0133</t>
  </si>
  <si>
    <t>Інша діяльність у сфері державного управління</t>
  </si>
  <si>
    <t>0112010</t>
  </si>
  <si>
    <t>2010</t>
  </si>
  <si>
    <t>0731</t>
  </si>
  <si>
    <t>Багатопрофільна стаціонарна медична допомога населенню</t>
  </si>
  <si>
    <t>0112111</t>
  </si>
  <si>
    <t>2111</t>
  </si>
  <si>
    <t>0726</t>
  </si>
  <si>
    <t>Первинна медична допомога населенню, що надається центрами первинної медичної (медико-санітарної) допомоги</t>
  </si>
  <si>
    <t>0112152</t>
  </si>
  <si>
    <t>2152</t>
  </si>
  <si>
    <t>0763</t>
  </si>
  <si>
    <t>Інші програми та заходи у сфері охорони здоров`я</t>
  </si>
  <si>
    <t>0113032</t>
  </si>
  <si>
    <t>3032</t>
  </si>
  <si>
    <t>1070</t>
  </si>
  <si>
    <t>Надання пільг окремим категоріям громадян з оплати послуг зв`язку</t>
  </si>
  <si>
    <t>0113035</t>
  </si>
  <si>
    <t>3035</t>
  </si>
  <si>
    <t>Компенсаційні виплати за пільговий проїзд окремих категорій громадян на залізничному транспорті</t>
  </si>
  <si>
    <t>0113104</t>
  </si>
  <si>
    <t>3104</t>
  </si>
  <si>
    <t>1020</t>
  </si>
  <si>
    <t>Забезпечення соціальними послугами за місцем проживання громадян, які не здатні до самообслуговування у зв`язку з похилим віком, хворобою, інвалідністю</t>
  </si>
  <si>
    <t>0113105</t>
  </si>
  <si>
    <t>3105</t>
  </si>
  <si>
    <t>1010</t>
  </si>
  <si>
    <t>Надання реабілітаційних послуг особам з інвалідністю та дітям з інвалідністю</t>
  </si>
  <si>
    <t>0113160</t>
  </si>
  <si>
    <t>3160</t>
  </si>
  <si>
    <t>Надання соціальних гарантій фізичним особам, які надають соціальні послуги громадянам похилого віку, особам з інвалідністю, дітям з інвалідністю, хворим, які не здатні до самообслуговування і потребують сторонньої допомоги</t>
  </si>
  <si>
    <t>0113242</t>
  </si>
  <si>
    <t>3242</t>
  </si>
  <si>
    <t>1090</t>
  </si>
  <si>
    <t>Інші заходи у сфері соціального захисту і соціального забезпечення</t>
  </si>
  <si>
    <t>0116020</t>
  </si>
  <si>
    <t>6020</t>
  </si>
  <si>
    <t>0620</t>
  </si>
  <si>
    <t>Забезпечення функціонування підприємств, установ та організацій, що виробляють, виконують та/або надають житлово-комунальні послуги</t>
  </si>
  <si>
    <t>0116030</t>
  </si>
  <si>
    <t>6030</t>
  </si>
  <si>
    <t>Організація благоустрою населених пунктів</t>
  </si>
  <si>
    <t>0116071</t>
  </si>
  <si>
    <t>6071</t>
  </si>
  <si>
    <t>0640</t>
  </si>
  <si>
    <t>Відшкодування різниці між розміром ціни (тарифу) на теплову енергію, у тому числі її виробництво, транспортування та постачання, комунальні послуги, що затверджувалися або погоджувалися рішенням місцевого органу виконавчої влади та органу місцевого самоврядування, та розміром економічно обґрунтованих витрат на їх виробництво (надання)</t>
  </si>
  <si>
    <t>0117130</t>
  </si>
  <si>
    <t>7130</t>
  </si>
  <si>
    <t>0421</t>
  </si>
  <si>
    <t>Здійснення заходів із землеустрою</t>
  </si>
  <si>
    <t>0117461</t>
  </si>
  <si>
    <t>7461</t>
  </si>
  <si>
    <t>0456</t>
  </si>
  <si>
    <t>Утримання та розвиток автомобільних доріг та дорожньої інфраструктури за рахунок коштів місцевого бюджету</t>
  </si>
  <si>
    <t>0117622</t>
  </si>
  <si>
    <t>7622</t>
  </si>
  <si>
    <t>0470</t>
  </si>
  <si>
    <t>Реалізація програм і заходів в галузі туризму та курортів</t>
  </si>
  <si>
    <t>0117650</t>
  </si>
  <si>
    <t>7650</t>
  </si>
  <si>
    <t>0490</t>
  </si>
  <si>
    <t>Проведення експертної грошової оцінки земельної ділянки чи права на неї</t>
  </si>
  <si>
    <t>0117680</t>
  </si>
  <si>
    <t>7680</t>
  </si>
  <si>
    <t>Членські внески до асоціацій органів місцевого самоврядування</t>
  </si>
  <si>
    <t>0117693</t>
  </si>
  <si>
    <t>7693</t>
  </si>
  <si>
    <t>Інші заходи, пов`язані з економічною діяльністю</t>
  </si>
  <si>
    <t>0118220</t>
  </si>
  <si>
    <t>8220</t>
  </si>
  <si>
    <t>0380</t>
  </si>
  <si>
    <t>Заходи та роботи з мобілізаційної підготовки місцевого значення</t>
  </si>
  <si>
    <t>0118330</t>
  </si>
  <si>
    <t>8330</t>
  </si>
  <si>
    <t>0540</t>
  </si>
  <si>
    <t>Інша діяльність у сфері екології та охорони природних ресурсів</t>
  </si>
  <si>
    <t>0600000</t>
  </si>
  <si>
    <t>0610000</t>
  </si>
  <si>
    <t>0610160</t>
  </si>
  <si>
    <t>0160</t>
  </si>
  <si>
    <t>Керівництво і управління у відповідній сфері у містах (місті Києві), селищах, селах, територіальних громадах</t>
  </si>
  <si>
    <t>0611010</t>
  </si>
  <si>
    <t>0910</t>
  </si>
  <si>
    <t>Надання дошкільної освіти</t>
  </si>
  <si>
    <t>0611021</t>
  </si>
  <si>
    <t>1021</t>
  </si>
  <si>
    <t>0921</t>
  </si>
  <si>
    <t>Надання загальної середньої освіти закладами загальної середньої освіти за рахунок коштів місцевого бюджету</t>
  </si>
  <si>
    <t>0611031</t>
  </si>
  <si>
    <t>1031</t>
  </si>
  <si>
    <t>Надання загальної середньої освіти закладами загальної середньої освіти за рахунок освітньої субвенції</t>
  </si>
  <si>
    <t>0611070</t>
  </si>
  <si>
    <t>0960</t>
  </si>
  <si>
    <t>Надання позашкільної освіти закладами позашкільної освіти, заходи із позашкільної роботи з дітьми</t>
  </si>
  <si>
    <t>0611080</t>
  </si>
  <si>
    <t>1080</t>
  </si>
  <si>
    <t>Надання спеціалізованої освіти мистецькими школами</t>
  </si>
  <si>
    <t>0611141</t>
  </si>
  <si>
    <t>1141</t>
  </si>
  <si>
    <t>0990</t>
  </si>
  <si>
    <t>Забезпечення діяльності інших закладів у сфері освіти</t>
  </si>
  <si>
    <t>0611142</t>
  </si>
  <si>
    <t>1142</t>
  </si>
  <si>
    <t>Інші програми та заходи у сфері освіти</t>
  </si>
  <si>
    <t>0611151</t>
  </si>
  <si>
    <t>1151</t>
  </si>
  <si>
    <t>Забезпечення діяльності інклюзивно-ресурсних центрів за рахунок коштів місцевого бюджету</t>
  </si>
  <si>
    <t>0611152</t>
  </si>
  <si>
    <t>1152</t>
  </si>
  <si>
    <t>Забезпечення діяльності інклюзивно-ресурсних центрів за рахунок освітньої субвенції</t>
  </si>
  <si>
    <t>0614030</t>
  </si>
  <si>
    <t>4030</t>
  </si>
  <si>
    <t>0824</t>
  </si>
  <si>
    <t>Забезпечення діяльності бібліотек</t>
  </si>
  <si>
    <t>0614060</t>
  </si>
  <si>
    <t>4060</t>
  </si>
  <si>
    <t>0828</t>
  </si>
  <si>
    <t>Забезпечення діяльності палаців i будинків культури, клубів, центрів дозвілля та iнших клубних закладів</t>
  </si>
  <si>
    <t>0614082</t>
  </si>
  <si>
    <t>4082</t>
  </si>
  <si>
    <t>0829</t>
  </si>
  <si>
    <t>Інші заходи в галузі культури і мистецтва</t>
  </si>
  <si>
    <t>0615031</t>
  </si>
  <si>
    <t>5031</t>
  </si>
  <si>
    <t>0810</t>
  </si>
  <si>
    <t>3700000</t>
  </si>
  <si>
    <t>3710000</t>
  </si>
  <si>
    <t>3710160</t>
  </si>
  <si>
    <t>3719770</t>
  </si>
  <si>
    <t>9770</t>
  </si>
  <si>
    <t>Інші субвенції з місцевого бюджету</t>
  </si>
  <si>
    <t>УСЬОГО</t>
  </si>
  <si>
    <t>X</t>
  </si>
  <si>
    <t>Секретар ради</t>
  </si>
  <si>
    <t>Євген МОЛНАР</t>
  </si>
  <si>
    <t>до рішення міської ради</t>
  </si>
  <si>
    <t>Рахiвська мiська рада (головний розпорядник)</t>
  </si>
  <si>
    <t>Рахiвська мiська рада (відповідальний виконавець)</t>
  </si>
  <si>
    <t>Відділ освіти,культури,молоді та спорту Рахівської міської ради (головний розпорядник)</t>
  </si>
  <si>
    <t>Відділ освіти,культури,молоді та спорту Рахівської міської ради (відповідальний виконавець)</t>
  </si>
  <si>
    <t>Фінансовий відділ Рахівської міської ради (головний розпорядник)</t>
  </si>
  <si>
    <t>Фінансовий відділ Рахівської міської ради (відповідальний виконавець)</t>
  </si>
  <si>
    <t>видатків бюджету Рахівської міської територіальної громади на 2025 рік</t>
  </si>
  <si>
    <t>Розвиток здібностей у дітей та молоді з фізичної культури та спорту комунальними дитячо- юнацькими спортивними школами'</t>
  </si>
  <si>
    <t>0611184</t>
  </si>
  <si>
    <t>Виконання заходів, спрямованих на реалізацію публічного інвестиційного проекту на забезпечення якісної, сучасної та доступної загальної середньої освіти «Нова українська школа» за рахунок субвенції з державного бюджету місцевим бюджетам</t>
  </si>
  <si>
    <t>0611200</t>
  </si>
  <si>
    <t>Проведення (надання) додаткових психолого-педагогічних і корекційно-розвиткових занять (послуг) за рахунок субвенції з державного бюджету місцевим бюджетам на надання державної підтримки особам з особливими освітніми потребами</t>
  </si>
  <si>
    <t>0611600</t>
  </si>
  <si>
    <t>Здійснення доплат педагогічним працівникам закладів загальної середньої освіти за рахунок субвенції з державного бюджету місцевим бюджетам</t>
  </si>
  <si>
    <t>0113230</t>
  </si>
  <si>
    <t xml:space="preserve"> Видатки, пов'язані з наданням підтримки внутрішньо переміщеним та/або евакуйованим особам у зв'язку із введенням воєнного стану</t>
  </si>
  <si>
    <t>0118110</t>
  </si>
  <si>
    <t>Заходи із запобігання та ліквідації надзвичайних ситуацій та наслідків стихійного лиха</t>
  </si>
  <si>
    <t>0118240</t>
  </si>
  <si>
    <t>Заходи та роботи з територіальної оборони</t>
  </si>
  <si>
    <t>0611183</t>
  </si>
  <si>
    <t>Співфінансування заходів, що реалізуються за рахунок субвенції з державного бюджету місцевим бюджетам на реалізацію публічного інвестиційного проекту на забезпечення якісної, сучасної та доступної загальної середньої освіти «Нова українська школа»</t>
  </si>
  <si>
    <t>0611291</t>
  </si>
  <si>
    <t>Співфінансування заходів, що реалізуються за рахунок залишку коштів за освітньою субвенцією на кінець бюджетного періоду, що мають цільове призначення, виділених відповідно до рішень Кабінету Міністрів України у попередніх бюджетних періодах (за спеціальним фондом державного бюджету)</t>
  </si>
  <si>
    <t>0613230</t>
  </si>
  <si>
    <t>Видатки, пов'язані з наданням підтримки внутрішньо переміщеним та/або евакуйованим особам у зв'язку із введенням воєнного стану</t>
  </si>
  <si>
    <t>0320</t>
  </si>
  <si>
    <t>0618110</t>
  </si>
  <si>
    <t>0611403</t>
  </si>
  <si>
    <t>Забезпечення харчуванням учнів початкових класів закладів загальної середньої освіти за рахунок субвенції з державного бюджету місцевим бюджетам</t>
  </si>
  <si>
    <t>0611292</t>
  </si>
  <si>
    <t>Реалізація заходів за рахунок залишку коштів за освітньою субвенцією на кінець бюджетного періоду, що мають цільове призначення, виділених відповідно до рішень Кабінету Міністрів України у попередніх бюджетних періодах (за спеціальним фондом державного бюджету)</t>
  </si>
  <si>
    <t>Дод 3.1</t>
  </si>
  <si>
    <t>Дод 3 попередній</t>
  </si>
  <si>
    <t>Субвенція з місцевого бюджету державному бюджету на виконання програм соціально-економічного розвитку регіонів</t>
  </si>
  <si>
    <t>О180</t>
  </si>
  <si>
    <t>О112170</t>
  </si>
  <si>
    <t>О763</t>
  </si>
  <si>
    <t>Будівництво закладів охорони здоров'я</t>
  </si>
  <si>
    <t>Виконання заходів за рахунок цільових фондів, утворених Верховною Радою Автономної Республіки Крим, органами місцевого самоврядування і місцевими органами виконавчої влади і фондів, утворених Верховною Радою Автономної Республіки Крим, органами місцевого самоврядування і місцевими органами виконавчої влади</t>
  </si>
  <si>
    <t>О117691</t>
  </si>
  <si>
    <t>0611501</t>
  </si>
  <si>
    <t>Проведення (надання) додаткових психолого-педагогічних і корекційно-розвиткових занять (послуг) за рахунок субвенції з державного бюджету місцевим бюджетам на надання державної підтримки особам з особливими освітніми потребами (за спеціальним фондом державного бюджету)</t>
  </si>
  <si>
    <t>Забезпечення харчуванням учнів закладів загальної середньої освіти за рахунок субвенції з державного бюджету місцевим бюджетам</t>
  </si>
  <si>
    <t>О611702</t>
  </si>
  <si>
    <t>О118340</t>
  </si>
  <si>
    <t>О540</t>
  </si>
  <si>
    <t>Природоохоронні заходи за рахунок цільових фондів</t>
  </si>
  <si>
    <t>О113114</t>
  </si>
  <si>
    <t>Забезпечення умов для догляду та виховання дітей і молоді в дитячих будинках сімейного типу, прийомних сім’ях та сім’ях патронатних вихователів</t>
  </si>
  <si>
    <t>79-ї сесії 8-го скликання</t>
  </si>
  <si>
    <t>від 09.12.2025 р. №1193</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</si>
</sst>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0.00;#,&quot;-&quot;"/>
    <numFmt numFmtId="165" formatCode="#,##0.00_ ;\-#,##0.00\ "/>
  </numFmts>
  <fonts count="13" x14ac:knownFonts="1">
    <font>
      <sz val="10"/>
      <color theme="1"/>
      <name val="Calibri"/>
      <family val="2"/>
      <charset val="204"/>
      <scheme val="minor"/>
    </font>
    <font>
      <b/>
      <sz val="10"/>
      <color theme="1"/>
      <name val="Calibri"/>
      <family val="2"/>
      <charset val="204"/>
      <scheme val="minor"/>
    </font>
    <font>
      <b/>
      <u/>
      <sz val="10"/>
      <color theme="1"/>
      <name val="Calibri"/>
      <family val="2"/>
      <charset val="204"/>
      <scheme val="minor"/>
    </font>
    <font>
      <sz val="8"/>
      <color theme="1"/>
      <name val="Calibri"/>
      <family val="2"/>
      <charset val="204"/>
      <scheme val="minor"/>
    </font>
    <font>
      <i/>
      <sz val="10"/>
      <color theme="1"/>
      <name val="Calibri"/>
      <family val="2"/>
      <charset val="204"/>
      <scheme val="minor"/>
    </font>
    <font>
      <sz val="10"/>
      <color rgb="FFFF0000"/>
      <name val="Calibri"/>
      <family val="2"/>
      <charset val="204"/>
      <scheme val="minor"/>
    </font>
    <font>
      <sz val="11"/>
      <color indexed="8"/>
      <name val="Calibri"/>
      <family val="2"/>
      <charset val="204"/>
    </font>
    <font>
      <sz val="10"/>
      <name val="Arial"/>
      <family val="2"/>
      <charset val="204"/>
    </font>
    <font>
      <sz val="10"/>
      <color indexed="8"/>
      <name val="Calibri"/>
      <family val="2"/>
      <charset val="204"/>
    </font>
    <font>
      <sz val="10"/>
      <name val="Calibri"/>
      <family val="2"/>
      <charset val="204"/>
    </font>
    <font>
      <b/>
      <sz val="14"/>
      <color theme="1"/>
      <name val="Times New Roman"/>
      <family val="1"/>
      <charset val="204"/>
    </font>
    <font>
      <b/>
      <sz val="14"/>
      <color theme="1"/>
      <name val="Calibri"/>
      <family val="2"/>
      <charset val="204"/>
      <scheme val="minor"/>
    </font>
    <font>
      <sz val="14"/>
      <color theme="1"/>
      <name val="Calibri"/>
      <family val="2"/>
      <charset val="204"/>
      <scheme val="minor"/>
    </font>
  </fonts>
  <fills count="3">
    <fill>
      <patternFill patternType="none"/>
    </fill>
    <fill>
      <patternFill patternType="gray125"/>
    </fill>
    <fill>
      <patternFill patternType="solid">
        <fgColor indexed="41"/>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s>
  <cellStyleXfs count="3">
    <xf numFmtId="0" fontId="0" fillId="0" borderId="0"/>
    <xf numFmtId="0" fontId="6" fillId="0" borderId="0"/>
    <xf numFmtId="0" fontId="7" fillId="0" borderId="0"/>
  </cellStyleXfs>
  <cellXfs count="47">
    <xf numFmtId="0" fontId="0" fillId="0" borderId="0" xfId="0"/>
    <xf numFmtId="0" fontId="2" fillId="0" borderId="0" xfId="0" quotePrefix="1" applyFont="1" applyAlignment="1">
      <alignment horizontal="center"/>
    </xf>
    <xf numFmtId="0" fontId="0" fillId="0" borderId="0" xfId="0" applyAlignment="1">
      <alignment horizontal="right"/>
    </xf>
    <xf numFmtId="0" fontId="0" fillId="0" borderId="1" xfId="0" applyBorder="1" applyAlignment="1">
      <alignment horizontal="center" vertical="center" wrapText="1"/>
    </xf>
    <xf numFmtId="0" fontId="0" fillId="2" borderId="1" xfId="0" applyFill="1" applyBorder="1" applyAlignment="1">
      <alignment horizontal="center" vertical="center" wrapText="1"/>
    </xf>
    <xf numFmtId="0" fontId="1" fillId="0" borderId="1" xfId="0" applyFont="1" applyBorder="1" applyAlignment="1">
      <alignment horizontal="center" vertical="center" wrapText="1"/>
    </xf>
    <xf numFmtId="0" fontId="1" fillId="0" borderId="1" xfId="0" quotePrefix="1" applyFont="1" applyBorder="1" applyAlignment="1">
      <alignment vertical="center" wrapText="1"/>
    </xf>
    <xf numFmtId="164" fontId="1" fillId="2" borderId="1" xfId="0" applyNumberFormat="1" applyFont="1" applyFill="1" applyBorder="1" applyAlignment="1">
      <alignment vertical="center"/>
    </xf>
    <xf numFmtId="164" fontId="1" fillId="0" borderId="1" xfId="0" applyNumberFormat="1" applyFont="1" applyBorder="1" applyAlignment="1">
      <alignment vertical="center"/>
    </xf>
    <xf numFmtId="0" fontId="0" fillId="0" borderId="1" xfId="0" quotePrefix="1" applyBorder="1" applyAlignment="1">
      <alignment vertical="center" wrapText="1"/>
    </xf>
    <xf numFmtId="164" fontId="0" fillId="2" borderId="1" xfId="0" applyNumberFormat="1" applyFill="1" applyBorder="1" applyAlignment="1">
      <alignment vertical="center"/>
    </xf>
    <xf numFmtId="164" fontId="0" fillId="0" borderId="1" xfId="0" applyNumberFormat="1" applyBorder="1" applyAlignment="1">
      <alignment vertical="center"/>
    </xf>
    <xf numFmtId="0" fontId="1" fillId="2" borderId="1" xfId="0" applyFont="1" applyFill="1" applyBorder="1" applyAlignment="1">
      <alignment horizontal="center" vertical="center" wrapText="1"/>
    </xf>
    <xf numFmtId="0" fontId="1" fillId="2" borderId="1" xfId="0" applyFont="1" applyFill="1" applyBorder="1" applyAlignment="1">
      <alignment vertical="center" wrapText="1"/>
    </xf>
    <xf numFmtId="0" fontId="0" fillId="0" borderId="0" xfId="0" applyAlignment="1">
      <alignment horizontal="right"/>
    </xf>
    <xf numFmtId="0" fontId="0" fillId="0" borderId="1" xfId="0" applyBorder="1" applyAlignment="1">
      <alignment horizontal="center" vertical="center" wrapText="1"/>
    </xf>
    <xf numFmtId="0" fontId="0" fillId="0" borderId="1" xfId="0" quotePrefix="1" applyBorder="1" applyAlignment="1">
      <alignment horizontal="center" vertical="center" wrapText="1"/>
    </xf>
    <xf numFmtId="164" fontId="0" fillId="0" borderId="2" xfId="0" applyNumberFormat="1" applyFill="1" applyBorder="1" applyAlignment="1">
      <alignment vertical="center"/>
    </xf>
    <xf numFmtId="164" fontId="0" fillId="0" borderId="0" xfId="0" applyNumberFormat="1" applyFill="1" applyBorder="1" applyAlignment="1">
      <alignment vertical="center"/>
    </xf>
    <xf numFmtId="0" fontId="0" fillId="0" borderId="2" xfId="0" applyBorder="1"/>
    <xf numFmtId="0" fontId="0" fillId="0" borderId="0" xfId="0" applyBorder="1"/>
    <xf numFmtId="4" fontId="0" fillId="0" borderId="0" xfId="0" applyNumberFormat="1"/>
    <xf numFmtId="4" fontId="5" fillId="0" borderId="0" xfId="0" applyNumberFormat="1" applyFont="1"/>
    <xf numFmtId="0" fontId="0" fillId="0" borderId="1" xfId="0" applyBorder="1" applyAlignment="1">
      <alignment horizontal="center" vertical="center" wrapText="1"/>
    </xf>
    <xf numFmtId="0" fontId="0" fillId="0" borderId="1" xfId="0" applyBorder="1" applyAlignment="1">
      <alignment horizontal="center" vertical="center" wrapText="1"/>
    </xf>
    <xf numFmtId="165" fontId="0" fillId="2" borderId="1" xfId="0" applyNumberFormat="1" applyFill="1" applyBorder="1" applyAlignment="1">
      <alignment vertical="center"/>
    </xf>
    <xf numFmtId="165" fontId="0" fillId="0" borderId="1" xfId="0" applyNumberFormat="1" applyBorder="1" applyAlignment="1">
      <alignment vertical="center"/>
    </xf>
    <xf numFmtId="165" fontId="0" fillId="0" borderId="1" xfId="0" applyNumberFormat="1" applyBorder="1" applyAlignment="1">
      <alignment horizontal="right" vertical="center"/>
    </xf>
    <xf numFmtId="0" fontId="0" fillId="0" borderId="1" xfId="0"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center" vertical="center" wrapText="1"/>
    </xf>
    <xf numFmtId="0" fontId="8" fillId="0" borderId="1" xfId="1" applyNumberFormat="1" applyFont="1" applyBorder="1" applyAlignment="1">
      <alignment horizontal="center" vertical="center"/>
    </xf>
    <xf numFmtId="0" fontId="9" fillId="0" borderId="1" xfId="1" applyNumberFormat="1" applyFont="1" applyBorder="1" applyAlignment="1">
      <alignment horizontal="center" vertical="center"/>
    </xf>
    <xf numFmtId="2" fontId="9" fillId="0" borderId="1" xfId="1" applyNumberFormat="1" applyFont="1" applyBorder="1" applyAlignment="1">
      <alignment horizontal="center" vertical="center"/>
    </xf>
    <xf numFmtId="2" fontId="9" fillId="0" borderId="1" xfId="2" applyNumberFormat="1" applyFont="1" applyBorder="1" applyAlignment="1">
      <alignment vertical="center" wrapText="1"/>
    </xf>
    <xf numFmtId="0" fontId="10" fillId="0" borderId="0" xfId="0" applyFont="1"/>
    <xf numFmtId="0" fontId="10" fillId="0" borderId="0" xfId="0" applyFont="1" applyBorder="1"/>
    <xf numFmtId="0" fontId="0" fillId="0" borderId="1" xfId="0" applyBorder="1" applyAlignment="1">
      <alignment horizontal="center" vertical="center" wrapText="1"/>
    </xf>
    <xf numFmtId="0" fontId="1" fillId="0" borderId="0" xfId="0" applyFont="1" applyAlignment="1">
      <alignment horizontal="center"/>
    </xf>
    <xf numFmtId="0" fontId="0" fillId="0" borderId="0" xfId="0" applyAlignment="1">
      <alignment horizontal="center"/>
    </xf>
    <xf numFmtId="0" fontId="3" fillId="0" borderId="1" xfId="0" applyFont="1" applyBorder="1" applyAlignment="1">
      <alignment horizontal="center" vertical="center" wrapText="1"/>
    </xf>
    <xf numFmtId="0" fontId="0" fillId="0" borderId="1" xfId="0" applyBorder="1" applyAlignment="1">
      <alignment horizontal="center" vertical="center" wrapText="1"/>
    </xf>
    <xf numFmtId="0" fontId="0" fillId="2" borderId="1" xfId="0" applyFill="1" applyBorder="1" applyAlignment="1">
      <alignment horizontal="center" vertical="center" wrapText="1"/>
    </xf>
    <xf numFmtId="0" fontId="10" fillId="0" borderId="0" xfId="0" applyFont="1" applyAlignment="1">
      <alignment horizontal="center"/>
    </xf>
    <xf numFmtId="0" fontId="4" fillId="0" borderId="0" xfId="0" applyFont="1" applyAlignment="1">
      <alignment horizontal="center"/>
    </xf>
    <xf numFmtId="0" fontId="11" fillId="0" borderId="0" xfId="0" applyFont="1" applyAlignment="1">
      <alignment horizontal="center"/>
    </xf>
    <xf numFmtId="0" fontId="12" fillId="0" borderId="0" xfId="0" applyFont="1" applyAlignment="1">
      <alignment horizontal="center"/>
    </xf>
  </cellXfs>
  <cellStyles count="3">
    <cellStyle name="Обычный" xfId="0" builtinId="0"/>
    <cellStyle name="Обычный_Dod_3.1" xfId="2"/>
    <cellStyle name="Обычный_дод.3 до рішення"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Офіс">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R90"/>
  <sheetViews>
    <sheetView tabSelected="1" zoomScale="55" zoomScaleNormal="55" workbookViewId="0">
      <selection activeCell="R6" sqref="R6"/>
    </sheetView>
  </sheetViews>
  <sheetFormatPr defaultRowHeight="13.8" x14ac:dyDescent="0.3"/>
  <cols>
    <col min="1" max="3" width="12" customWidth="1"/>
    <col min="4" max="4" width="40.6640625" customWidth="1"/>
    <col min="5" max="16" width="15.6640625" customWidth="1"/>
    <col min="17" max="18" width="9.109375" style="20"/>
  </cols>
  <sheetData>
    <row r="1" spans="1:18" x14ac:dyDescent="0.3">
      <c r="P1" s="14" t="s">
        <v>0</v>
      </c>
    </row>
    <row r="2" spans="1:18" x14ac:dyDescent="0.3">
      <c r="P2" s="14" t="s">
        <v>164</v>
      </c>
    </row>
    <row r="3" spans="1:18" x14ac:dyDescent="0.3">
      <c r="P3" s="14" t="s">
        <v>215</v>
      </c>
    </row>
    <row r="4" spans="1:18" x14ac:dyDescent="0.3">
      <c r="P4" s="14" t="s">
        <v>216</v>
      </c>
    </row>
    <row r="5" spans="1:18" ht="18" x14ac:dyDescent="0.35">
      <c r="A5" s="45" t="s">
        <v>1</v>
      </c>
      <c r="B5" s="46"/>
      <c r="C5" s="46"/>
      <c r="D5" s="46"/>
      <c r="E5" s="46"/>
      <c r="F5" s="46"/>
      <c r="G5" s="46"/>
      <c r="H5" s="46"/>
      <c r="I5" s="46"/>
      <c r="J5" s="46"/>
      <c r="K5" s="46"/>
      <c r="L5" s="46"/>
      <c r="M5" s="46"/>
      <c r="N5" s="46"/>
      <c r="O5" s="46"/>
      <c r="P5" s="46"/>
    </row>
    <row r="6" spans="1:18" x14ac:dyDescent="0.3">
      <c r="A6" s="38" t="s">
        <v>171</v>
      </c>
      <c r="B6" s="39"/>
      <c r="C6" s="39"/>
      <c r="D6" s="39"/>
      <c r="E6" s="39"/>
      <c r="F6" s="39"/>
      <c r="G6" s="39"/>
      <c r="H6" s="39"/>
      <c r="I6" s="39"/>
      <c r="J6" s="39"/>
      <c r="K6" s="39"/>
      <c r="L6" s="39"/>
      <c r="M6" s="39"/>
      <c r="N6" s="39"/>
      <c r="O6" s="39"/>
      <c r="P6" s="39"/>
    </row>
    <row r="7" spans="1:18" x14ac:dyDescent="0.3">
      <c r="A7" s="1" t="s">
        <v>2</v>
      </c>
    </row>
    <row r="8" spans="1:18" x14ac:dyDescent="0.3">
      <c r="A8" t="s">
        <v>3</v>
      </c>
      <c r="P8" s="2" t="s">
        <v>4</v>
      </c>
    </row>
    <row r="9" spans="1:18" x14ac:dyDescent="0.3">
      <c r="A9" s="40" t="s">
        <v>5</v>
      </c>
      <c r="B9" s="40" t="s">
        <v>6</v>
      </c>
      <c r="C9" s="40" t="s">
        <v>7</v>
      </c>
      <c r="D9" s="41" t="s">
        <v>8</v>
      </c>
      <c r="E9" s="41" t="s">
        <v>9</v>
      </c>
      <c r="F9" s="41"/>
      <c r="G9" s="41"/>
      <c r="H9" s="41"/>
      <c r="I9" s="41"/>
      <c r="J9" s="41" t="s">
        <v>16</v>
      </c>
      <c r="K9" s="41"/>
      <c r="L9" s="41"/>
      <c r="M9" s="41"/>
      <c r="N9" s="41"/>
      <c r="O9" s="41"/>
      <c r="P9" s="42" t="s">
        <v>18</v>
      </c>
    </row>
    <row r="10" spans="1:18" x14ac:dyDescent="0.3">
      <c r="A10" s="41"/>
      <c r="B10" s="41"/>
      <c r="C10" s="41"/>
      <c r="D10" s="41"/>
      <c r="E10" s="42" t="s">
        <v>10</v>
      </c>
      <c r="F10" s="41" t="s">
        <v>11</v>
      </c>
      <c r="G10" s="41" t="s">
        <v>12</v>
      </c>
      <c r="H10" s="41"/>
      <c r="I10" s="41" t="s">
        <v>15</v>
      </c>
      <c r="J10" s="42" t="s">
        <v>10</v>
      </c>
      <c r="K10" s="41" t="s">
        <v>17</v>
      </c>
      <c r="L10" s="41" t="s">
        <v>11</v>
      </c>
      <c r="M10" s="41" t="s">
        <v>12</v>
      </c>
      <c r="N10" s="41"/>
      <c r="O10" s="41" t="s">
        <v>15</v>
      </c>
      <c r="P10" s="41"/>
    </row>
    <row r="11" spans="1:18" x14ac:dyDescent="0.3">
      <c r="A11" s="41"/>
      <c r="B11" s="41"/>
      <c r="C11" s="41"/>
      <c r="D11" s="41"/>
      <c r="E11" s="41"/>
      <c r="F11" s="41"/>
      <c r="G11" s="41" t="s">
        <v>13</v>
      </c>
      <c r="H11" s="41" t="s">
        <v>14</v>
      </c>
      <c r="I11" s="41"/>
      <c r="J11" s="41"/>
      <c r="K11" s="41"/>
      <c r="L11" s="41"/>
      <c r="M11" s="41" t="s">
        <v>13</v>
      </c>
      <c r="N11" s="41" t="s">
        <v>14</v>
      </c>
      <c r="O11" s="41"/>
      <c r="P11" s="41"/>
    </row>
    <row r="12" spans="1:18" ht="44.25" customHeight="1" x14ac:dyDescent="0.3">
      <c r="A12" s="41"/>
      <c r="B12" s="41"/>
      <c r="C12" s="41"/>
      <c r="D12" s="41"/>
      <c r="E12" s="41"/>
      <c r="F12" s="41"/>
      <c r="G12" s="41"/>
      <c r="H12" s="41"/>
      <c r="I12" s="41"/>
      <c r="J12" s="41"/>
      <c r="K12" s="41"/>
      <c r="L12" s="41"/>
      <c r="M12" s="41"/>
      <c r="N12" s="41"/>
      <c r="O12" s="41"/>
      <c r="P12" s="41"/>
    </row>
    <row r="13" spans="1:18" x14ac:dyDescent="0.3">
      <c r="A13" s="3">
        <v>1</v>
      </c>
      <c r="B13" s="3">
        <v>2</v>
      </c>
      <c r="C13" s="3">
        <v>3</v>
      </c>
      <c r="D13" s="3">
        <v>4</v>
      </c>
      <c r="E13" s="4">
        <v>5</v>
      </c>
      <c r="F13" s="3">
        <v>6</v>
      </c>
      <c r="G13" s="3">
        <v>7</v>
      </c>
      <c r="H13" s="3">
        <v>8</v>
      </c>
      <c r="I13" s="3">
        <v>9</v>
      </c>
      <c r="J13" s="4">
        <v>10</v>
      </c>
      <c r="K13" s="3">
        <v>11</v>
      </c>
      <c r="L13" s="3">
        <v>12</v>
      </c>
      <c r="M13" s="3">
        <v>13</v>
      </c>
      <c r="N13" s="3">
        <v>14</v>
      </c>
      <c r="O13" s="3">
        <v>15</v>
      </c>
      <c r="P13" s="4">
        <v>16</v>
      </c>
    </row>
    <row r="14" spans="1:18" x14ac:dyDescent="0.3">
      <c r="A14" s="5" t="s">
        <v>19</v>
      </c>
      <c r="B14" s="5" t="s">
        <v>20</v>
      </c>
      <c r="C14" s="5" t="s">
        <v>20</v>
      </c>
      <c r="D14" s="6" t="s">
        <v>165</v>
      </c>
      <c r="E14" s="7">
        <f>E15</f>
        <v>71911598.150000006</v>
      </c>
      <c r="F14" s="8">
        <f t="shared" ref="F14:O14" si="0">F15</f>
        <v>54888687.149999999</v>
      </c>
      <c r="G14" s="8">
        <f t="shared" si="0"/>
        <v>21644231</v>
      </c>
      <c r="H14" s="8">
        <f t="shared" si="0"/>
        <v>2421045</v>
      </c>
      <c r="I14" s="8">
        <f t="shared" si="0"/>
        <v>17022911</v>
      </c>
      <c r="J14" s="7">
        <f t="shared" si="0"/>
        <v>8384661.7199999997</v>
      </c>
      <c r="K14" s="8">
        <f t="shared" si="0"/>
        <v>8139932</v>
      </c>
      <c r="L14" s="8">
        <f t="shared" si="0"/>
        <v>51500</v>
      </c>
      <c r="M14" s="8">
        <f t="shared" si="0"/>
        <v>0</v>
      </c>
      <c r="N14" s="8">
        <f t="shared" si="0"/>
        <v>0</v>
      </c>
      <c r="O14" s="8">
        <f t="shared" si="0"/>
        <v>8333161.7199999997</v>
      </c>
      <c r="P14" s="7">
        <f t="shared" ref="P14:P77" si="1">E14 + J14</f>
        <v>80296259.870000005</v>
      </c>
      <c r="R14" s="20">
        <v>1</v>
      </c>
    </row>
    <row r="15" spans="1:18" ht="27.6" x14ac:dyDescent="0.3">
      <c r="A15" s="5" t="s">
        <v>21</v>
      </c>
      <c r="B15" s="5" t="s">
        <v>20</v>
      </c>
      <c r="C15" s="5" t="s">
        <v>20</v>
      </c>
      <c r="D15" s="6" t="s">
        <v>166</v>
      </c>
      <c r="E15" s="7">
        <f>SUM(E16:E44)</f>
        <v>71911598.150000006</v>
      </c>
      <c r="F15" s="8">
        <f>SUM(F16:F44)</f>
        <v>54888687.149999999</v>
      </c>
      <c r="G15" s="8">
        <f t="shared" ref="G15:O15" si="2">SUM(G16:G44)</f>
        <v>21644231</v>
      </c>
      <c r="H15" s="8">
        <f t="shared" si="2"/>
        <v>2421045</v>
      </c>
      <c r="I15" s="8">
        <f t="shared" si="2"/>
        <v>17022911</v>
      </c>
      <c r="J15" s="7">
        <f t="shared" si="2"/>
        <v>8384661.7199999997</v>
      </c>
      <c r="K15" s="8">
        <f t="shared" si="2"/>
        <v>8139932</v>
      </c>
      <c r="L15" s="8">
        <f t="shared" si="2"/>
        <v>51500</v>
      </c>
      <c r="M15" s="8">
        <f t="shared" si="2"/>
        <v>0</v>
      </c>
      <c r="N15" s="8">
        <f t="shared" si="2"/>
        <v>0</v>
      </c>
      <c r="O15" s="8">
        <f t="shared" si="2"/>
        <v>8333161.7199999997</v>
      </c>
      <c r="P15" s="7">
        <f t="shared" si="1"/>
        <v>80296259.870000005</v>
      </c>
      <c r="R15" s="20">
        <v>1</v>
      </c>
    </row>
    <row r="16" spans="1:18" ht="69" x14ac:dyDescent="0.3">
      <c r="A16" s="3" t="s">
        <v>22</v>
      </c>
      <c r="B16" s="3" t="s">
        <v>23</v>
      </c>
      <c r="C16" s="3" t="s">
        <v>24</v>
      </c>
      <c r="D16" s="9" t="s">
        <v>25</v>
      </c>
      <c r="E16" s="10">
        <f>F16+I16</f>
        <v>24360097</v>
      </c>
      <c r="F16" s="11">
        <f>22167587+1559669+200000+28641+150000+113600-9400+50000+100000</f>
        <v>24360097</v>
      </c>
      <c r="G16" s="11">
        <f>16329600+1253827</f>
        <v>17583427</v>
      </c>
      <c r="H16" s="11">
        <f>1040475-9400</f>
        <v>1031075</v>
      </c>
      <c r="I16" s="11">
        <v>0</v>
      </c>
      <c r="J16" s="10">
        <f>L16+O16</f>
        <v>199500</v>
      </c>
      <c r="K16" s="11">
        <f>100000-500+100000</f>
        <v>199500</v>
      </c>
      <c r="L16" s="11">
        <v>0</v>
      </c>
      <c r="M16" s="11">
        <v>0</v>
      </c>
      <c r="N16" s="11">
        <v>0</v>
      </c>
      <c r="O16" s="11">
        <f>100000-500+100000</f>
        <v>199500</v>
      </c>
      <c r="P16" s="10">
        <f t="shared" si="1"/>
        <v>24559597</v>
      </c>
      <c r="R16" s="17">
        <v>1</v>
      </c>
    </row>
    <row r="17" spans="1:18" x14ac:dyDescent="0.3">
      <c r="A17" s="3" t="s">
        <v>26</v>
      </c>
      <c r="B17" s="3" t="s">
        <v>27</v>
      </c>
      <c r="C17" s="3" t="s">
        <v>28</v>
      </c>
      <c r="D17" s="9" t="s">
        <v>29</v>
      </c>
      <c r="E17" s="10">
        <f t="shared" ref="E17:E76" si="3">F17+I17</f>
        <v>1732094</v>
      </c>
      <c r="F17" s="11">
        <f>1334186-60000+200000-107592+200000+40000+35500+40000+50000</f>
        <v>1732094</v>
      </c>
      <c r="G17" s="11">
        <f>626175+29100+6194</f>
        <v>661469</v>
      </c>
      <c r="H17" s="11">
        <f>23152-7690</f>
        <v>15462</v>
      </c>
      <c r="I17" s="11">
        <v>0</v>
      </c>
      <c r="J17" s="10">
        <f t="shared" ref="J17:J76" si="4">L17+O17</f>
        <v>943670</v>
      </c>
      <c r="K17" s="11">
        <f>60000+70000-29400+800000+1054100+86100+38300-1135430</f>
        <v>943670</v>
      </c>
      <c r="L17" s="11">
        <v>0</v>
      </c>
      <c r="M17" s="11">
        <v>0</v>
      </c>
      <c r="N17" s="11">
        <v>0</v>
      </c>
      <c r="O17" s="11">
        <f>60000+70000-29400+800000+1054100+86100+38300-1135430</f>
        <v>943670</v>
      </c>
      <c r="P17" s="10">
        <f t="shared" si="1"/>
        <v>2675764</v>
      </c>
      <c r="R17" s="17">
        <v>1</v>
      </c>
    </row>
    <row r="18" spans="1:18" ht="27.6" x14ac:dyDescent="0.3">
      <c r="A18" s="3" t="s">
        <v>30</v>
      </c>
      <c r="B18" s="3" t="s">
        <v>31</v>
      </c>
      <c r="C18" s="3" t="s">
        <v>32</v>
      </c>
      <c r="D18" s="9" t="s">
        <v>33</v>
      </c>
      <c r="E18" s="10">
        <f t="shared" si="3"/>
        <v>15627666</v>
      </c>
      <c r="F18" s="11">
        <f>9811676+72190+300000+600000+200000+2470000+1053800+1020000+100000</f>
        <v>15627666</v>
      </c>
      <c r="G18" s="11">
        <v>0</v>
      </c>
      <c r="H18" s="11">
        <v>0</v>
      </c>
      <c r="I18" s="11">
        <v>0</v>
      </c>
      <c r="J18" s="10">
        <f t="shared" si="4"/>
        <v>4850100</v>
      </c>
      <c r="K18" s="11">
        <f>700000+1000000-450000+1300000+500000+256970+1143130+400000</f>
        <v>4850100</v>
      </c>
      <c r="L18" s="11">
        <v>0</v>
      </c>
      <c r="M18" s="11">
        <v>0</v>
      </c>
      <c r="N18" s="11">
        <v>0</v>
      </c>
      <c r="O18" s="11">
        <f>700000+1000000-450000+1300000+500000+256970+1143130+400000</f>
        <v>4850100</v>
      </c>
      <c r="P18" s="10">
        <f t="shared" si="1"/>
        <v>20477766</v>
      </c>
      <c r="R18" s="17">
        <v>1</v>
      </c>
    </row>
    <row r="19" spans="1:18" ht="41.4" hidden="1" x14ac:dyDescent="0.3">
      <c r="A19" s="3" t="s">
        <v>34</v>
      </c>
      <c r="B19" s="3" t="s">
        <v>35</v>
      </c>
      <c r="C19" s="3" t="s">
        <v>36</v>
      </c>
      <c r="D19" s="9" t="s">
        <v>37</v>
      </c>
      <c r="E19" s="10">
        <f t="shared" si="3"/>
        <v>1600000</v>
      </c>
      <c r="F19" s="11">
        <v>1600000</v>
      </c>
      <c r="G19" s="11">
        <v>0</v>
      </c>
      <c r="H19" s="11">
        <v>0</v>
      </c>
      <c r="I19" s="11">
        <v>0</v>
      </c>
      <c r="J19" s="10">
        <f t="shared" si="4"/>
        <v>0</v>
      </c>
      <c r="K19" s="11">
        <v>0</v>
      </c>
      <c r="L19" s="11">
        <v>0</v>
      </c>
      <c r="M19" s="11">
        <v>0</v>
      </c>
      <c r="N19" s="11">
        <v>0</v>
      </c>
      <c r="O19" s="11">
        <v>0</v>
      </c>
      <c r="P19" s="10">
        <f t="shared" si="1"/>
        <v>1600000</v>
      </c>
    </row>
    <row r="20" spans="1:18" ht="27.6" x14ac:dyDescent="0.3">
      <c r="A20" s="3" t="s">
        <v>38</v>
      </c>
      <c r="B20" s="3" t="s">
        <v>39</v>
      </c>
      <c r="C20" s="3" t="s">
        <v>40</v>
      </c>
      <c r="D20" s="9" t="s">
        <v>41</v>
      </c>
      <c r="E20" s="10">
        <f t="shared" si="3"/>
        <v>496906</v>
      </c>
      <c r="F20" s="11">
        <f>350106+200000+46800-100000</f>
        <v>496906</v>
      </c>
      <c r="G20" s="11">
        <v>0</v>
      </c>
      <c r="H20" s="11">
        <v>0</v>
      </c>
      <c r="I20" s="11">
        <v>0</v>
      </c>
      <c r="J20" s="10">
        <f t="shared" si="4"/>
        <v>0</v>
      </c>
      <c r="K20" s="11">
        <v>0</v>
      </c>
      <c r="L20" s="11">
        <v>0</v>
      </c>
      <c r="M20" s="11">
        <v>0</v>
      </c>
      <c r="N20" s="11">
        <v>0</v>
      </c>
      <c r="O20" s="11">
        <v>0</v>
      </c>
      <c r="P20" s="10">
        <f t="shared" si="1"/>
        <v>496906</v>
      </c>
      <c r="R20" s="18">
        <v>1</v>
      </c>
    </row>
    <row r="21" spans="1:18" hidden="1" x14ac:dyDescent="0.3">
      <c r="A21" s="24" t="s">
        <v>201</v>
      </c>
      <c r="B21" s="24">
        <v>2170</v>
      </c>
      <c r="C21" s="24" t="s">
        <v>202</v>
      </c>
      <c r="D21" s="9" t="s">
        <v>203</v>
      </c>
      <c r="E21" s="10">
        <f t="shared" si="3"/>
        <v>0</v>
      </c>
      <c r="F21" s="11">
        <v>0</v>
      </c>
      <c r="G21" s="11">
        <v>0</v>
      </c>
      <c r="H21" s="11">
        <v>0</v>
      </c>
      <c r="I21" s="11">
        <v>0</v>
      </c>
      <c r="J21" s="25">
        <f t="shared" si="4"/>
        <v>450000</v>
      </c>
      <c r="K21" s="26">
        <v>450000</v>
      </c>
      <c r="L21" s="27">
        <v>0</v>
      </c>
      <c r="M21" s="26">
        <v>0</v>
      </c>
      <c r="N21" s="26">
        <v>0</v>
      </c>
      <c r="O21" s="26">
        <v>450000</v>
      </c>
      <c r="P21" s="25">
        <f t="shared" si="1"/>
        <v>450000</v>
      </c>
      <c r="R21" s="18"/>
    </row>
    <row r="22" spans="1:18" ht="27.6" x14ac:dyDescent="0.3">
      <c r="A22" s="3" t="s">
        <v>42</v>
      </c>
      <c r="B22" s="3" t="s">
        <v>43</v>
      </c>
      <c r="C22" s="3" t="s">
        <v>44</v>
      </c>
      <c r="D22" s="9" t="s">
        <v>45</v>
      </c>
      <c r="E22" s="10">
        <f t="shared" si="3"/>
        <v>4000</v>
      </c>
      <c r="F22" s="11">
        <f>9000-5000</f>
        <v>4000</v>
      </c>
      <c r="G22" s="11">
        <v>0</v>
      </c>
      <c r="H22" s="11">
        <v>0</v>
      </c>
      <c r="I22" s="11">
        <v>0</v>
      </c>
      <c r="J22" s="10">
        <f t="shared" si="4"/>
        <v>0</v>
      </c>
      <c r="K22" s="11">
        <v>0</v>
      </c>
      <c r="L22" s="11">
        <v>0</v>
      </c>
      <c r="M22" s="11">
        <v>0</v>
      </c>
      <c r="N22" s="11">
        <v>0</v>
      </c>
      <c r="O22" s="11">
        <v>0</v>
      </c>
      <c r="P22" s="10">
        <f t="shared" si="1"/>
        <v>4000</v>
      </c>
      <c r="R22" s="18">
        <v>1</v>
      </c>
    </row>
    <row r="23" spans="1:18" ht="41.4" hidden="1" x14ac:dyDescent="0.3">
      <c r="A23" s="3" t="s">
        <v>46</v>
      </c>
      <c r="B23" s="3" t="s">
        <v>47</v>
      </c>
      <c r="C23" s="3" t="s">
        <v>44</v>
      </c>
      <c r="D23" s="9" t="s">
        <v>48</v>
      </c>
      <c r="E23" s="10">
        <f t="shared" si="3"/>
        <v>89000</v>
      </c>
      <c r="F23" s="11">
        <f>64000+25000</f>
        <v>89000</v>
      </c>
      <c r="G23" s="11">
        <v>0</v>
      </c>
      <c r="H23" s="11">
        <v>0</v>
      </c>
      <c r="I23" s="11">
        <v>0</v>
      </c>
      <c r="J23" s="10">
        <f t="shared" si="4"/>
        <v>0</v>
      </c>
      <c r="K23" s="11">
        <v>0</v>
      </c>
      <c r="L23" s="11">
        <v>0</v>
      </c>
      <c r="M23" s="11">
        <v>0</v>
      </c>
      <c r="N23" s="11">
        <v>0</v>
      </c>
      <c r="O23" s="11">
        <v>0</v>
      </c>
      <c r="P23" s="10">
        <f t="shared" si="1"/>
        <v>89000</v>
      </c>
      <c r="R23" s="17"/>
    </row>
    <row r="24" spans="1:18" ht="55.2" x14ac:dyDescent="0.3">
      <c r="A24" s="3" t="s">
        <v>49</v>
      </c>
      <c r="B24" s="3" t="s">
        <v>50</v>
      </c>
      <c r="C24" s="3" t="s">
        <v>51</v>
      </c>
      <c r="D24" s="9" t="s">
        <v>52</v>
      </c>
      <c r="E24" s="10">
        <f t="shared" si="3"/>
        <v>4830710</v>
      </c>
      <c r="F24" s="11">
        <f>4624634+10000+28376+167700</f>
        <v>4830710</v>
      </c>
      <c r="G24" s="11">
        <f>2704136+121200</f>
        <v>2825336</v>
      </c>
      <c r="H24" s="11">
        <f>158588+1500-13210</f>
        <v>146878</v>
      </c>
      <c r="I24" s="11">
        <v>0</v>
      </c>
      <c r="J24" s="10">
        <f t="shared" si="4"/>
        <v>100000</v>
      </c>
      <c r="K24" s="11">
        <v>100000</v>
      </c>
      <c r="L24" s="11">
        <v>0</v>
      </c>
      <c r="M24" s="11">
        <v>0</v>
      </c>
      <c r="N24" s="11">
        <v>0</v>
      </c>
      <c r="O24" s="11">
        <v>100000</v>
      </c>
      <c r="P24" s="10">
        <f t="shared" si="1"/>
        <v>4930710</v>
      </c>
      <c r="R24" s="17">
        <v>1</v>
      </c>
    </row>
    <row r="25" spans="1:18" ht="27.6" x14ac:dyDescent="0.3">
      <c r="A25" s="3" t="s">
        <v>53</v>
      </c>
      <c r="B25" s="3" t="s">
        <v>54</v>
      </c>
      <c r="C25" s="3" t="s">
        <v>55</v>
      </c>
      <c r="D25" s="9" t="s">
        <v>56</v>
      </c>
      <c r="E25" s="10">
        <f t="shared" si="3"/>
        <v>918763</v>
      </c>
      <c r="F25" s="11">
        <f>807363+15000+65000+31400</f>
        <v>918763</v>
      </c>
      <c r="G25" s="11">
        <f>546666+27333</f>
        <v>573999</v>
      </c>
      <c r="H25" s="11">
        <f>107630+15000+65000</f>
        <v>187630</v>
      </c>
      <c r="I25" s="11">
        <v>0</v>
      </c>
      <c r="J25" s="10">
        <f t="shared" si="4"/>
        <v>0</v>
      </c>
      <c r="K25" s="11">
        <v>0</v>
      </c>
      <c r="L25" s="11">
        <v>0</v>
      </c>
      <c r="M25" s="11">
        <v>0</v>
      </c>
      <c r="N25" s="11">
        <v>0</v>
      </c>
      <c r="O25" s="11">
        <v>0</v>
      </c>
      <c r="P25" s="10">
        <f t="shared" si="1"/>
        <v>918763</v>
      </c>
      <c r="R25" s="17">
        <v>1</v>
      </c>
    </row>
    <row r="26" spans="1:18" ht="63" hidden="1" customHeight="1" x14ac:dyDescent="0.3">
      <c r="A26" s="37" t="s">
        <v>213</v>
      </c>
      <c r="B26" s="37">
        <v>3114</v>
      </c>
      <c r="C26" s="37">
        <v>1040</v>
      </c>
      <c r="D26" s="9" t="s">
        <v>214</v>
      </c>
      <c r="E26" s="10">
        <f t="shared" si="3"/>
        <v>16000</v>
      </c>
      <c r="F26" s="11">
        <v>16000</v>
      </c>
      <c r="G26" s="11"/>
      <c r="H26" s="11"/>
      <c r="I26" s="11"/>
      <c r="J26" s="10"/>
      <c r="K26" s="11"/>
      <c r="L26" s="11"/>
      <c r="M26" s="11"/>
      <c r="N26" s="11"/>
      <c r="O26" s="11"/>
      <c r="P26" s="10">
        <f t="shared" si="1"/>
        <v>16000</v>
      </c>
      <c r="R26" s="17"/>
    </row>
    <row r="27" spans="1:18" ht="82.8" hidden="1" x14ac:dyDescent="0.3">
      <c r="A27" s="3" t="s">
        <v>57</v>
      </c>
      <c r="B27" s="3" t="s">
        <v>58</v>
      </c>
      <c r="C27" s="3" t="s">
        <v>55</v>
      </c>
      <c r="D27" s="9" t="s">
        <v>59</v>
      </c>
      <c r="E27" s="10">
        <f t="shared" si="3"/>
        <v>350000</v>
      </c>
      <c r="F27" s="11">
        <f>500000-150000</f>
        <v>350000</v>
      </c>
      <c r="G27" s="11">
        <v>0</v>
      </c>
      <c r="H27" s="11">
        <v>0</v>
      </c>
      <c r="I27" s="11">
        <v>0</v>
      </c>
      <c r="J27" s="10">
        <f t="shared" si="4"/>
        <v>0</v>
      </c>
      <c r="K27" s="11">
        <v>0</v>
      </c>
      <c r="L27" s="11">
        <v>0</v>
      </c>
      <c r="M27" s="11">
        <v>0</v>
      </c>
      <c r="N27" s="11">
        <v>0</v>
      </c>
      <c r="O27" s="11">
        <v>0</v>
      </c>
      <c r="P27" s="10">
        <f t="shared" si="1"/>
        <v>350000</v>
      </c>
      <c r="R27" s="17"/>
    </row>
    <row r="28" spans="1:18" ht="41.4" hidden="1" x14ac:dyDescent="0.3">
      <c r="A28" s="16" t="s">
        <v>179</v>
      </c>
      <c r="B28" s="15">
        <v>3230</v>
      </c>
      <c r="C28" s="15">
        <v>1070</v>
      </c>
      <c r="D28" s="9" t="s">
        <v>180</v>
      </c>
      <c r="E28" s="10">
        <f t="shared" si="3"/>
        <v>94851.15</v>
      </c>
      <c r="F28" s="11">
        <v>94851.15</v>
      </c>
      <c r="G28" s="11">
        <v>0</v>
      </c>
      <c r="H28" s="11">
        <v>0</v>
      </c>
      <c r="I28" s="11">
        <v>0</v>
      </c>
      <c r="J28" s="10">
        <f t="shared" si="4"/>
        <v>399262</v>
      </c>
      <c r="K28" s="11">
        <f>171624.64+28375.36+137562+61700</f>
        <v>399262</v>
      </c>
      <c r="L28" s="11">
        <v>0</v>
      </c>
      <c r="M28" s="11">
        <v>0</v>
      </c>
      <c r="N28" s="11">
        <v>0</v>
      </c>
      <c r="O28" s="11">
        <f>171624.64+28375.36+137562+61700</f>
        <v>399262</v>
      </c>
      <c r="P28" s="10">
        <f t="shared" ref="P28" si="5">E28 + J28</f>
        <v>494113.15</v>
      </c>
      <c r="R28" s="18"/>
    </row>
    <row r="29" spans="1:18" ht="27.6" x14ac:dyDescent="0.3">
      <c r="A29" s="3" t="s">
        <v>60</v>
      </c>
      <c r="B29" s="3" t="s">
        <v>61</v>
      </c>
      <c r="C29" s="3" t="s">
        <v>62</v>
      </c>
      <c r="D29" s="9" t="s">
        <v>63</v>
      </c>
      <c r="E29" s="10">
        <f t="shared" si="3"/>
        <v>1155000</v>
      </c>
      <c r="F29" s="11">
        <f>1300000-100000-45000</f>
        <v>1155000</v>
      </c>
      <c r="G29" s="11">
        <v>0</v>
      </c>
      <c r="H29" s="11">
        <v>0</v>
      </c>
      <c r="I29" s="11">
        <v>0</v>
      </c>
      <c r="J29" s="10">
        <f t="shared" si="4"/>
        <v>0</v>
      </c>
      <c r="K29" s="11">
        <v>0</v>
      </c>
      <c r="L29" s="11">
        <v>0</v>
      </c>
      <c r="M29" s="11">
        <v>0</v>
      </c>
      <c r="N29" s="11">
        <v>0</v>
      </c>
      <c r="O29" s="11">
        <v>0</v>
      </c>
      <c r="P29" s="10">
        <f t="shared" si="1"/>
        <v>1155000</v>
      </c>
      <c r="R29" s="17">
        <v>1</v>
      </c>
    </row>
    <row r="30" spans="1:18" ht="55.2" x14ac:dyDescent="0.3">
      <c r="A30" s="3" t="s">
        <v>64</v>
      </c>
      <c r="B30" s="3" t="s">
        <v>65</v>
      </c>
      <c r="C30" s="3" t="s">
        <v>66</v>
      </c>
      <c r="D30" s="9" t="s">
        <v>67</v>
      </c>
      <c r="E30" s="10">
        <f t="shared" si="3"/>
        <v>16572911</v>
      </c>
      <c r="F30" s="11">
        <v>0</v>
      </c>
      <c r="G30" s="11">
        <v>0</v>
      </c>
      <c r="H30" s="11">
        <v>0</v>
      </c>
      <c r="I30" s="11">
        <f>6100000+1100000+800000+900000+900000+1071711+477800+473400+100000+100000+250000+50000+900000+600000+900000+1750000+100000</f>
        <v>16572911</v>
      </c>
      <c r="J30" s="10">
        <f t="shared" si="4"/>
        <v>200000</v>
      </c>
      <c r="K30" s="11">
        <v>200000</v>
      </c>
      <c r="L30" s="11">
        <v>0</v>
      </c>
      <c r="M30" s="11">
        <v>0</v>
      </c>
      <c r="N30" s="11">
        <v>0</v>
      </c>
      <c r="O30" s="11">
        <v>200000</v>
      </c>
      <c r="P30" s="10">
        <f t="shared" si="1"/>
        <v>16772911</v>
      </c>
      <c r="R30" s="17">
        <v>1</v>
      </c>
    </row>
    <row r="31" spans="1:18" hidden="1" x14ac:dyDescent="0.3">
      <c r="A31" s="3" t="s">
        <v>68</v>
      </c>
      <c r="B31" s="3" t="s">
        <v>69</v>
      </c>
      <c r="C31" s="3" t="s">
        <v>66</v>
      </c>
      <c r="D31" s="9" t="s">
        <v>70</v>
      </c>
      <c r="E31" s="10">
        <f t="shared" si="3"/>
        <v>1325000</v>
      </c>
      <c r="F31" s="11">
        <f>1225000</f>
        <v>1225000</v>
      </c>
      <c r="G31" s="11">
        <v>0</v>
      </c>
      <c r="H31" s="11">
        <f>1000000</f>
        <v>1000000</v>
      </c>
      <c r="I31" s="11">
        <f>98412.13+100000-98412.13</f>
        <v>100000</v>
      </c>
      <c r="J31" s="10">
        <f t="shared" si="4"/>
        <v>927400</v>
      </c>
      <c r="K31" s="11">
        <f>2306100+778700-127800-100000-200000-50000-106100-100000-1473500</f>
        <v>927400</v>
      </c>
      <c r="L31" s="11">
        <v>0</v>
      </c>
      <c r="M31" s="11">
        <v>0</v>
      </c>
      <c r="N31" s="11">
        <v>0</v>
      </c>
      <c r="O31" s="11">
        <f>2306100+778700-127800-100000-200000-50000-106100-100000-1473500</f>
        <v>927400</v>
      </c>
      <c r="P31" s="10">
        <f t="shared" si="1"/>
        <v>2252400</v>
      </c>
    </row>
    <row r="32" spans="1:18" ht="124.2" hidden="1" x14ac:dyDescent="0.3">
      <c r="A32" s="3" t="s">
        <v>71</v>
      </c>
      <c r="B32" s="3" t="s">
        <v>72</v>
      </c>
      <c r="C32" s="3" t="s">
        <v>73</v>
      </c>
      <c r="D32" s="9" t="s">
        <v>74</v>
      </c>
      <c r="E32" s="10">
        <f t="shared" si="3"/>
        <v>350000</v>
      </c>
      <c r="F32" s="11">
        <v>0</v>
      </c>
      <c r="G32" s="11">
        <v>0</v>
      </c>
      <c r="H32" s="11">
        <v>0</v>
      </c>
      <c r="I32" s="11">
        <v>350000</v>
      </c>
      <c r="J32" s="10">
        <f t="shared" si="4"/>
        <v>0</v>
      </c>
      <c r="K32" s="11">
        <v>0</v>
      </c>
      <c r="L32" s="11">
        <v>0</v>
      </c>
      <c r="M32" s="11">
        <v>0</v>
      </c>
      <c r="N32" s="11">
        <v>0</v>
      </c>
      <c r="O32" s="11">
        <v>0</v>
      </c>
      <c r="P32" s="10">
        <f t="shared" si="1"/>
        <v>350000</v>
      </c>
    </row>
    <row r="33" spans="1:18" hidden="1" x14ac:dyDescent="0.3">
      <c r="A33" s="3" t="s">
        <v>75</v>
      </c>
      <c r="B33" s="3" t="s">
        <v>76</v>
      </c>
      <c r="C33" s="3" t="s">
        <v>77</v>
      </c>
      <c r="D33" s="9" t="s">
        <v>78</v>
      </c>
      <c r="E33" s="10">
        <f t="shared" si="3"/>
        <v>100000</v>
      </c>
      <c r="F33" s="11">
        <f>270000-50000-120000</f>
        <v>100000</v>
      </c>
      <c r="G33" s="11">
        <v>0</v>
      </c>
      <c r="H33" s="11">
        <v>0</v>
      </c>
      <c r="I33" s="11">
        <v>0</v>
      </c>
      <c r="J33" s="10">
        <f t="shared" si="4"/>
        <v>0</v>
      </c>
      <c r="K33" s="11">
        <v>0</v>
      </c>
      <c r="L33" s="11">
        <v>0</v>
      </c>
      <c r="M33" s="11">
        <v>0</v>
      </c>
      <c r="N33" s="11">
        <v>0</v>
      </c>
      <c r="O33" s="11">
        <v>0</v>
      </c>
      <c r="P33" s="10">
        <f t="shared" si="1"/>
        <v>100000</v>
      </c>
      <c r="R33" s="17"/>
    </row>
    <row r="34" spans="1:18" ht="41.4" hidden="1" x14ac:dyDescent="0.3">
      <c r="A34" s="3" t="s">
        <v>79</v>
      </c>
      <c r="B34" s="3" t="s">
        <v>80</v>
      </c>
      <c r="C34" s="3" t="s">
        <v>81</v>
      </c>
      <c r="D34" s="9" t="s">
        <v>82</v>
      </c>
      <c r="E34" s="10">
        <f t="shared" si="3"/>
        <v>678000</v>
      </c>
      <c r="F34" s="11">
        <f>800000+600000-200000+100000-100000-100000-622000+200000</f>
        <v>678000</v>
      </c>
      <c r="G34" s="11">
        <v>0</v>
      </c>
      <c r="H34" s="11">
        <v>0</v>
      </c>
      <c r="I34" s="11">
        <v>0</v>
      </c>
      <c r="J34" s="10">
        <f t="shared" si="4"/>
        <v>0</v>
      </c>
      <c r="K34" s="11">
        <v>0</v>
      </c>
      <c r="L34" s="11">
        <v>0</v>
      </c>
      <c r="M34" s="11">
        <v>0</v>
      </c>
      <c r="N34" s="11">
        <v>0</v>
      </c>
      <c r="O34" s="11">
        <v>0</v>
      </c>
      <c r="P34" s="10">
        <f t="shared" si="1"/>
        <v>678000</v>
      </c>
      <c r="R34" s="17"/>
    </row>
    <row r="35" spans="1:18" ht="27.6" hidden="1" x14ac:dyDescent="0.3">
      <c r="A35" s="3" t="s">
        <v>83</v>
      </c>
      <c r="B35" s="3" t="s">
        <v>84</v>
      </c>
      <c r="C35" s="3" t="s">
        <v>85</v>
      </c>
      <c r="D35" s="9" t="s">
        <v>86</v>
      </c>
      <c r="E35" s="10">
        <f t="shared" si="3"/>
        <v>50000</v>
      </c>
      <c r="F35" s="11">
        <v>50000</v>
      </c>
      <c r="G35" s="11">
        <v>0</v>
      </c>
      <c r="H35" s="11">
        <v>0</v>
      </c>
      <c r="I35" s="11">
        <v>0</v>
      </c>
      <c r="J35" s="10">
        <f t="shared" si="4"/>
        <v>0</v>
      </c>
      <c r="K35" s="11">
        <v>0</v>
      </c>
      <c r="L35" s="11">
        <v>0</v>
      </c>
      <c r="M35" s="11">
        <v>0</v>
      </c>
      <c r="N35" s="11">
        <v>0</v>
      </c>
      <c r="O35" s="11">
        <v>0</v>
      </c>
      <c r="P35" s="10">
        <f t="shared" si="1"/>
        <v>50000</v>
      </c>
    </row>
    <row r="36" spans="1:18" ht="27.6" hidden="1" x14ac:dyDescent="0.3">
      <c r="A36" s="3" t="s">
        <v>87</v>
      </c>
      <c r="B36" s="3" t="s">
        <v>88</v>
      </c>
      <c r="C36" s="3" t="s">
        <v>89</v>
      </c>
      <c r="D36" s="9" t="s">
        <v>90</v>
      </c>
      <c r="E36" s="10">
        <f t="shared" si="3"/>
        <v>0</v>
      </c>
      <c r="F36" s="11">
        <v>0</v>
      </c>
      <c r="G36" s="11">
        <v>0</v>
      </c>
      <c r="H36" s="11">
        <v>0</v>
      </c>
      <c r="I36" s="11">
        <v>0</v>
      </c>
      <c r="J36" s="10">
        <f t="shared" si="4"/>
        <v>30000</v>
      </c>
      <c r="K36" s="11">
        <v>30000</v>
      </c>
      <c r="L36" s="11">
        <v>0</v>
      </c>
      <c r="M36" s="11">
        <v>0</v>
      </c>
      <c r="N36" s="11">
        <v>0</v>
      </c>
      <c r="O36" s="11">
        <v>30000</v>
      </c>
      <c r="P36" s="10">
        <f t="shared" si="1"/>
        <v>30000</v>
      </c>
    </row>
    <row r="37" spans="1:18" ht="27.6" hidden="1" x14ac:dyDescent="0.3">
      <c r="A37" s="3" t="s">
        <v>91</v>
      </c>
      <c r="B37" s="3" t="s">
        <v>92</v>
      </c>
      <c r="C37" s="3" t="s">
        <v>89</v>
      </c>
      <c r="D37" s="9" t="s">
        <v>93</v>
      </c>
      <c r="E37" s="10">
        <f t="shared" si="3"/>
        <v>24000</v>
      </c>
      <c r="F37" s="11">
        <v>24000</v>
      </c>
      <c r="G37" s="11">
        <v>0</v>
      </c>
      <c r="H37" s="11">
        <v>0</v>
      </c>
      <c r="I37" s="11">
        <v>0</v>
      </c>
      <c r="J37" s="10">
        <f t="shared" si="4"/>
        <v>0</v>
      </c>
      <c r="K37" s="11">
        <v>0</v>
      </c>
      <c r="L37" s="11">
        <v>0</v>
      </c>
      <c r="M37" s="11">
        <v>0</v>
      </c>
      <c r="N37" s="11">
        <v>0</v>
      </c>
      <c r="O37" s="11">
        <v>0</v>
      </c>
      <c r="P37" s="10">
        <f t="shared" si="1"/>
        <v>24000</v>
      </c>
    </row>
    <row r="38" spans="1:18" ht="110.4" hidden="1" x14ac:dyDescent="0.3">
      <c r="A38" s="28" t="s">
        <v>205</v>
      </c>
      <c r="B38" s="28">
        <v>7691</v>
      </c>
      <c r="C38" s="28" t="s">
        <v>89</v>
      </c>
      <c r="D38" s="9" t="s">
        <v>204</v>
      </c>
      <c r="E38" s="10">
        <f t="shared" si="3"/>
        <v>0</v>
      </c>
      <c r="F38" s="11">
        <v>0</v>
      </c>
      <c r="G38" s="11">
        <v>0</v>
      </c>
      <c r="H38" s="11">
        <v>0</v>
      </c>
      <c r="I38" s="11">
        <v>0</v>
      </c>
      <c r="J38" s="10">
        <f t="shared" si="4"/>
        <v>100742.45</v>
      </c>
      <c r="K38" s="11">
        <v>0</v>
      </c>
      <c r="L38" s="11">
        <v>0</v>
      </c>
      <c r="M38" s="11">
        <v>0</v>
      </c>
      <c r="N38" s="11">
        <v>0</v>
      </c>
      <c r="O38" s="11">
        <v>100742.45</v>
      </c>
      <c r="P38" s="10">
        <f t="shared" si="1"/>
        <v>100742.45</v>
      </c>
      <c r="R38" s="17"/>
    </row>
    <row r="39" spans="1:18" x14ac:dyDescent="0.3">
      <c r="A39" s="3" t="s">
        <v>94</v>
      </c>
      <c r="B39" s="3" t="s">
        <v>95</v>
      </c>
      <c r="C39" s="3" t="s">
        <v>89</v>
      </c>
      <c r="D39" s="9" t="s">
        <v>96</v>
      </c>
      <c r="E39" s="10">
        <f t="shared" si="3"/>
        <v>210000</v>
      </c>
      <c r="F39" s="11">
        <f>150000+200000-100000-40000</f>
        <v>210000</v>
      </c>
      <c r="G39" s="11">
        <v>0</v>
      </c>
      <c r="H39" s="11">
        <v>0</v>
      </c>
      <c r="I39" s="11">
        <v>0</v>
      </c>
      <c r="J39" s="10">
        <f t="shared" si="4"/>
        <v>0</v>
      </c>
      <c r="K39" s="11">
        <v>0</v>
      </c>
      <c r="L39" s="11">
        <v>0</v>
      </c>
      <c r="M39" s="11">
        <v>0</v>
      </c>
      <c r="N39" s="11">
        <v>0</v>
      </c>
      <c r="O39" s="11">
        <v>0</v>
      </c>
      <c r="P39" s="10">
        <f t="shared" si="1"/>
        <v>210000</v>
      </c>
      <c r="R39" s="17">
        <v>1</v>
      </c>
    </row>
    <row r="40" spans="1:18" ht="27.6" x14ac:dyDescent="0.3">
      <c r="A40" s="16" t="s">
        <v>181</v>
      </c>
      <c r="B40" s="15">
        <v>8110</v>
      </c>
      <c r="C40" s="15">
        <v>320</v>
      </c>
      <c r="D40" s="9" t="s">
        <v>182</v>
      </c>
      <c r="E40" s="10">
        <f t="shared" si="3"/>
        <v>260000</v>
      </c>
      <c r="F40" s="11">
        <f>420000-200000+40000</f>
        <v>260000</v>
      </c>
      <c r="G40" s="11">
        <v>0</v>
      </c>
      <c r="H40" s="11">
        <v>40000</v>
      </c>
      <c r="I40" s="11">
        <v>0</v>
      </c>
      <c r="J40" s="10">
        <f t="shared" si="4"/>
        <v>40000</v>
      </c>
      <c r="K40" s="11">
        <v>40000</v>
      </c>
      <c r="L40" s="11">
        <v>0</v>
      </c>
      <c r="M40" s="11">
        <v>0</v>
      </c>
      <c r="N40" s="11">
        <v>0</v>
      </c>
      <c r="O40" s="11">
        <v>40000</v>
      </c>
      <c r="P40" s="10">
        <f t="shared" ref="P40" si="6">E40 + J40</f>
        <v>300000</v>
      </c>
      <c r="R40" s="17">
        <v>1</v>
      </c>
    </row>
    <row r="41" spans="1:18" ht="27.6" hidden="1" x14ac:dyDescent="0.3">
      <c r="A41" s="3" t="s">
        <v>97</v>
      </c>
      <c r="B41" s="3" t="s">
        <v>98</v>
      </c>
      <c r="C41" s="3" t="s">
        <v>99</v>
      </c>
      <c r="D41" s="9" t="s">
        <v>100</v>
      </c>
      <c r="E41" s="10">
        <f t="shared" si="3"/>
        <v>900000</v>
      </c>
      <c r="F41" s="11">
        <f>50000+600000+150000+100000</f>
        <v>900000</v>
      </c>
      <c r="G41" s="11">
        <v>0</v>
      </c>
      <c r="H41" s="11">
        <v>0</v>
      </c>
      <c r="I41" s="11">
        <v>0</v>
      </c>
      <c r="J41" s="10">
        <f t="shared" si="4"/>
        <v>0</v>
      </c>
      <c r="K41" s="11">
        <v>0</v>
      </c>
      <c r="L41" s="11">
        <v>0</v>
      </c>
      <c r="M41" s="11">
        <v>0</v>
      </c>
      <c r="N41" s="11">
        <v>0</v>
      </c>
      <c r="O41" s="11">
        <v>0</v>
      </c>
      <c r="P41" s="10">
        <f t="shared" si="1"/>
        <v>900000</v>
      </c>
      <c r="R41" s="17"/>
    </row>
    <row r="42" spans="1:18" hidden="1" x14ac:dyDescent="0.3">
      <c r="A42" s="16" t="s">
        <v>183</v>
      </c>
      <c r="B42" s="15">
        <v>8240</v>
      </c>
      <c r="C42" s="15" t="s">
        <v>99</v>
      </c>
      <c r="D42" s="9" t="s">
        <v>184</v>
      </c>
      <c r="E42" s="10">
        <f t="shared" si="3"/>
        <v>166600</v>
      </c>
      <c r="F42" s="11">
        <f>300000-133400</f>
        <v>166600</v>
      </c>
      <c r="G42" s="11">
        <v>0</v>
      </c>
      <c r="H42" s="11">
        <v>0</v>
      </c>
      <c r="I42" s="11">
        <v>0</v>
      </c>
      <c r="J42" s="10">
        <f t="shared" si="4"/>
        <v>0</v>
      </c>
      <c r="K42" s="11">
        <v>0</v>
      </c>
      <c r="L42" s="11">
        <v>0</v>
      </c>
      <c r="M42" s="11">
        <v>0</v>
      </c>
      <c r="N42" s="11">
        <v>0</v>
      </c>
      <c r="O42" s="11">
        <v>0</v>
      </c>
      <c r="P42" s="10">
        <f t="shared" ref="P42" si="7">E42 + J42</f>
        <v>166600</v>
      </c>
      <c r="R42" s="17"/>
    </row>
    <row r="43" spans="1:18" ht="27.6" hidden="1" x14ac:dyDescent="0.3">
      <c r="A43" s="3" t="s">
        <v>101</v>
      </c>
      <c r="B43" s="3" t="s">
        <v>102</v>
      </c>
      <c r="C43" s="3" t="s">
        <v>103</v>
      </c>
      <c r="D43" s="9" t="s">
        <v>104</v>
      </c>
      <c r="E43" s="10">
        <f t="shared" si="3"/>
        <v>0</v>
      </c>
      <c r="F43" s="11">
        <v>0</v>
      </c>
      <c r="G43" s="11">
        <v>0</v>
      </c>
      <c r="H43" s="11">
        <v>0</v>
      </c>
      <c r="I43" s="11">
        <v>0</v>
      </c>
      <c r="J43" s="10">
        <f t="shared" si="4"/>
        <v>51500</v>
      </c>
      <c r="K43" s="11">
        <v>0</v>
      </c>
      <c r="L43" s="11">
        <v>51500</v>
      </c>
      <c r="M43" s="11">
        <v>0</v>
      </c>
      <c r="N43" s="11">
        <v>0</v>
      </c>
      <c r="O43" s="11">
        <v>0</v>
      </c>
      <c r="P43" s="10">
        <f t="shared" si="1"/>
        <v>51500</v>
      </c>
    </row>
    <row r="44" spans="1:18" ht="27.6" hidden="1" x14ac:dyDescent="0.3">
      <c r="A44" s="31" t="s">
        <v>210</v>
      </c>
      <c r="B44" s="32">
        <v>8340</v>
      </c>
      <c r="C44" s="33" t="s">
        <v>211</v>
      </c>
      <c r="D44" s="34" t="s">
        <v>212</v>
      </c>
      <c r="E44" s="10">
        <f t="shared" si="3"/>
        <v>0</v>
      </c>
      <c r="F44" s="11">
        <v>0</v>
      </c>
      <c r="G44" s="11">
        <v>0</v>
      </c>
      <c r="H44" s="11">
        <v>0</v>
      </c>
      <c r="I44" s="11">
        <v>0</v>
      </c>
      <c r="J44" s="10">
        <f t="shared" si="4"/>
        <v>92487.27</v>
      </c>
      <c r="K44" s="11">
        <v>0</v>
      </c>
      <c r="L44" s="11">
        <v>0</v>
      </c>
      <c r="M44" s="11">
        <v>0</v>
      </c>
      <c r="N44" s="11">
        <v>0</v>
      </c>
      <c r="O44" s="11">
        <v>92487.27</v>
      </c>
      <c r="P44" s="10">
        <f t="shared" si="1"/>
        <v>92487.27</v>
      </c>
      <c r="R44" s="17"/>
    </row>
    <row r="45" spans="1:18" ht="41.4" x14ac:dyDescent="0.3">
      <c r="A45" s="5" t="s">
        <v>105</v>
      </c>
      <c r="B45" s="5" t="s">
        <v>20</v>
      </c>
      <c r="C45" s="5" t="s">
        <v>20</v>
      </c>
      <c r="D45" s="6" t="s">
        <v>167</v>
      </c>
      <c r="E45" s="7">
        <f>E46</f>
        <v>217126685</v>
      </c>
      <c r="F45" s="8">
        <f t="shared" ref="F45:O45" si="8">F46</f>
        <v>217126685</v>
      </c>
      <c r="G45" s="8">
        <f t="shared" si="8"/>
        <v>148527286</v>
      </c>
      <c r="H45" s="8">
        <f t="shared" si="8"/>
        <v>20729801</v>
      </c>
      <c r="I45" s="8">
        <f t="shared" si="8"/>
        <v>0</v>
      </c>
      <c r="J45" s="7">
        <f t="shared" si="8"/>
        <v>9326841.9399999995</v>
      </c>
      <c r="K45" s="8">
        <f t="shared" si="8"/>
        <v>2854600</v>
      </c>
      <c r="L45" s="8">
        <f t="shared" si="8"/>
        <v>5372068.9299999997</v>
      </c>
      <c r="M45" s="8">
        <f t="shared" si="8"/>
        <v>219255</v>
      </c>
      <c r="N45" s="8">
        <f t="shared" si="8"/>
        <v>0</v>
      </c>
      <c r="O45" s="8">
        <f t="shared" si="8"/>
        <v>3954773.01</v>
      </c>
      <c r="P45" s="7">
        <f t="shared" si="1"/>
        <v>226453526.94</v>
      </c>
      <c r="R45" s="18">
        <v>1</v>
      </c>
    </row>
    <row r="46" spans="1:18" ht="41.4" x14ac:dyDescent="0.3">
      <c r="A46" s="5" t="s">
        <v>106</v>
      </c>
      <c r="B46" s="5" t="s">
        <v>20</v>
      </c>
      <c r="C46" s="5" t="s">
        <v>20</v>
      </c>
      <c r="D46" s="6" t="s">
        <v>168</v>
      </c>
      <c r="E46" s="7">
        <f>SUM(E47:E71)</f>
        <v>217126685</v>
      </c>
      <c r="F46" s="8">
        <f t="shared" ref="F46:O46" si="9">SUM(F47:F71)</f>
        <v>217126685</v>
      </c>
      <c r="G46" s="8">
        <f t="shared" si="9"/>
        <v>148527286</v>
      </c>
      <c r="H46" s="8">
        <f t="shared" si="9"/>
        <v>20729801</v>
      </c>
      <c r="I46" s="8">
        <f t="shared" si="9"/>
        <v>0</v>
      </c>
      <c r="J46" s="7">
        <f t="shared" si="9"/>
        <v>9326841.9399999995</v>
      </c>
      <c r="K46" s="8">
        <f t="shared" si="9"/>
        <v>2854600</v>
      </c>
      <c r="L46" s="8">
        <f t="shared" si="9"/>
        <v>5372068.9299999997</v>
      </c>
      <c r="M46" s="8">
        <f t="shared" si="9"/>
        <v>219255</v>
      </c>
      <c r="N46" s="8">
        <f t="shared" si="9"/>
        <v>0</v>
      </c>
      <c r="O46" s="8">
        <f t="shared" si="9"/>
        <v>3954773.01</v>
      </c>
      <c r="P46" s="7">
        <f t="shared" si="1"/>
        <v>226453526.94</v>
      </c>
      <c r="R46" s="18">
        <v>1</v>
      </c>
    </row>
    <row r="47" spans="1:18" ht="41.4" x14ac:dyDescent="0.3">
      <c r="A47" s="3" t="s">
        <v>107</v>
      </c>
      <c r="B47" s="3" t="s">
        <v>108</v>
      </c>
      <c r="C47" s="3" t="s">
        <v>24</v>
      </c>
      <c r="D47" s="9" t="s">
        <v>109</v>
      </c>
      <c r="E47" s="10">
        <f t="shared" si="3"/>
        <v>2354070</v>
      </c>
      <c r="F47" s="11">
        <f>1956324+75000+214346+20000+38400+50000</f>
        <v>2354070</v>
      </c>
      <c r="G47" s="11">
        <f>1513400+173895+15000</f>
        <v>1702295</v>
      </c>
      <c r="H47" s="11">
        <f>70976+38400</f>
        <v>109376</v>
      </c>
      <c r="I47" s="11">
        <v>0</v>
      </c>
      <c r="J47" s="10">
        <f t="shared" si="4"/>
        <v>55000</v>
      </c>
      <c r="K47" s="11">
        <f>25000+30000</f>
        <v>55000</v>
      </c>
      <c r="L47" s="11">
        <v>0</v>
      </c>
      <c r="M47" s="11">
        <v>0</v>
      </c>
      <c r="N47" s="11">
        <v>0</v>
      </c>
      <c r="O47" s="11">
        <f>25000+30000</f>
        <v>55000</v>
      </c>
      <c r="P47" s="10">
        <f t="shared" si="1"/>
        <v>2409070</v>
      </c>
      <c r="R47" s="18">
        <v>1</v>
      </c>
    </row>
    <row r="48" spans="1:18" x14ac:dyDescent="0.3">
      <c r="A48" s="3" t="s">
        <v>110</v>
      </c>
      <c r="B48" s="3" t="s">
        <v>55</v>
      </c>
      <c r="C48" s="3" t="s">
        <v>111</v>
      </c>
      <c r="D48" s="9" t="s">
        <v>112</v>
      </c>
      <c r="E48" s="10">
        <f t="shared" si="3"/>
        <v>32517085</v>
      </c>
      <c r="F48" s="11">
        <f>32206245+200000+252000-302000+210840-50000</f>
        <v>32517085</v>
      </c>
      <c r="G48" s="11">
        <v>19705548</v>
      </c>
      <c r="H48" s="11">
        <f>6419476-422000-50000-100170</f>
        <v>5847306</v>
      </c>
      <c r="I48" s="11">
        <v>0</v>
      </c>
      <c r="J48" s="10">
        <f t="shared" si="4"/>
        <v>2082000</v>
      </c>
      <c r="K48" s="11">
        <f>600000-500000+332000</f>
        <v>432000</v>
      </c>
      <c r="L48" s="11">
        <v>1650000</v>
      </c>
      <c r="M48" s="11">
        <v>0</v>
      </c>
      <c r="N48" s="11">
        <v>0</v>
      </c>
      <c r="O48" s="11">
        <f>600000-500000+332000</f>
        <v>432000</v>
      </c>
      <c r="P48" s="10">
        <f t="shared" si="1"/>
        <v>34599085</v>
      </c>
      <c r="R48" s="18">
        <v>1</v>
      </c>
    </row>
    <row r="49" spans="1:18" ht="41.4" x14ac:dyDescent="0.3">
      <c r="A49" s="3" t="s">
        <v>113</v>
      </c>
      <c r="B49" s="3" t="s">
        <v>114</v>
      </c>
      <c r="C49" s="3" t="s">
        <v>115</v>
      </c>
      <c r="D49" s="9" t="s">
        <v>116</v>
      </c>
      <c r="E49" s="10">
        <f t="shared" si="3"/>
        <v>31803902</v>
      </c>
      <c r="F49" s="11">
        <f>32259242+192640-530980+260000-327000-50000</f>
        <v>31803902</v>
      </c>
      <c r="G49" s="11">
        <f>12882612-290000-530980</f>
        <v>12061632</v>
      </c>
      <c r="H49" s="11">
        <f>12112354+81061+141140-218000-22000+180000-327000-50000</f>
        <v>11897555</v>
      </c>
      <c r="I49" s="11">
        <v>0</v>
      </c>
      <c r="J49" s="10">
        <f t="shared" si="4"/>
        <v>723500</v>
      </c>
      <c r="K49" s="11">
        <f>450000+200000+73500</f>
        <v>723500</v>
      </c>
      <c r="L49" s="11">
        <v>0</v>
      </c>
      <c r="M49" s="11">
        <v>0</v>
      </c>
      <c r="N49" s="11">
        <v>0</v>
      </c>
      <c r="O49" s="11">
        <f>450000+200000+73500</f>
        <v>723500</v>
      </c>
      <c r="P49" s="10">
        <f t="shared" si="1"/>
        <v>32527402</v>
      </c>
      <c r="R49" s="17">
        <v>1</v>
      </c>
    </row>
    <row r="50" spans="1:18" ht="41.4" x14ac:dyDescent="0.3">
      <c r="A50" s="3" t="s">
        <v>117</v>
      </c>
      <c r="B50" s="3" t="s">
        <v>118</v>
      </c>
      <c r="C50" s="3" t="s">
        <v>115</v>
      </c>
      <c r="D50" s="9" t="s">
        <v>119</v>
      </c>
      <c r="E50" s="10">
        <f t="shared" si="3"/>
        <v>104906900</v>
      </c>
      <c r="F50" s="11">
        <f>69990700+34916200</f>
        <v>104906900</v>
      </c>
      <c r="G50" s="11">
        <f>57369000+28620000+40000</f>
        <v>86029000</v>
      </c>
      <c r="H50" s="11">
        <v>0</v>
      </c>
      <c r="I50" s="11">
        <v>0</v>
      </c>
      <c r="J50" s="10">
        <f t="shared" si="4"/>
        <v>0</v>
      </c>
      <c r="K50" s="11">
        <v>0</v>
      </c>
      <c r="L50" s="11">
        <v>0</v>
      </c>
      <c r="M50" s="11">
        <v>0</v>
      </c>
      <c r="N50" s="11">
        <v>0</v>
      </c>
      <c r="O50" s="11">
        <v>0</v>
      </c>
      <c r="P50" s="10">
        <f t="shared" si="1"/>
        <v>104906900</v>
      </c>
      <c r="R50" s="17">
        <v>1</v>
      </c>
    </row>
    <row r="51" spans="1:18" ht="41.4" x14ac:dyDescent="0.3">
      <c r="A51" s="3" t="s">
        <v>120</v>
      </c>
      <c r="B51" s="3" t="s">
        <v>44</v>
      </c>
      <c r="C51" s="3" t="s">
        <v>121</v>
      </c>
      <c r="D51" s="9" t="s">
        <v>122</v>
      </c>
      <c r="E51" s="10">
        <f t="shared" si="3"/>
        <v>3843903</v>
      </c>
      <c r="F51" s="11">
        <f>4079503+14400-250000</f>
        <v>3843903</v>
      </c>
      <c r="G51" s="11">
        <f>2877411-200000</f>
        <v>2677411</v>
      </c>
      <c r="H51" s="11">
        <v>515062</v>
      </c>
      <c r="I51" s="11">
        <v>0</v>
      </c>
      <c r="J51" s="10">
        <f t="shared" si="4"/>
        <v>0</v>
      </c>
      <c r="K51" s="11">
        <v>0</v>
      </c>
      <c r="L51" s="11">
        <v>0</v>
      </c>
      <c r="M51" s="11">
        <v>0</v>
      </c>
      <c r="N51" s="11">
        <v>0</v>
      </c>
      <c r="O51" s="11">
        <v>0</v>
      </c>
      <c r="P51" s="10">
        <f t="shared" si="1"/>
        <v>3843903</v>
      </c>
      <c r="R51" s="18">
        <v>1</v>
      </c>
    </row>
    <row r="52" spans="1:18" ht="27.6" x14ac:dyDescent="0.3">
      <c r="A52" s="3" t="s">
        <v>123</v>
      </c>
      <c r="B52" s="3" t="s">
        <v>124</v>
      </c>
      <c r="C52" s="3" t="s">
        <v>121</v>
      </c>
      <c r="D52" s="9" t="s">
        <v>125</v>
      </c>
      <c r="E52" s="10">
        <f t="shared" si="3"/>
        <v>5097136</v>
      </c>
      <c r="F52" s="11">
        <f>5050136+32000+25000-110000+100000</f>
        <v>5097136</v>
      </c>
      <c r="G52" s="11">
        <f>3895702-70000</f>
        <v>3825702</v>
      </c>
      <c r="H52" s="11">
        <f>246380+32000+100000</f>
        <v>378380</v>
      </c>
      <c r="I52" s="11">
        <v>0</v>
      </c>
      <c r="J52" s="10">
        <f t="shared" si="4"/>
        <v>746900</v>
      </c>
      <c r="K52" s="11">
        <f>387000+177200</f>
        <v>564200</v>
      </c>
      <c r="L52" s="11">
        <v>182700</v>
      </c>
      <c r="M52" s="11">
        <v>149755</v>
      </c>
      <c r="N52" s="11">
        <v>0</v>
      </c>
      <c r="O52" s="11">
        <f>387000+177200</f>
        <v>564200</v>
      </c>
      <c r="P52" s="10">
        <f t="shared" si="1"/>
        <v>5844036</v>
      </c>
      <c r="R52" s="18">
        <v>1</v>
      </c>
    </row>
    <row r="53" spans="1:18" ht="27.6" x14ac:dyDescent="0.3">
      <c r="A53" s="3" t="s">
        <v>126</v>
      </c>
      <c r="B53" s="3" t="s">
        <v>127</v>
      </c>
      <c r="C53" s="3" t="s">
        <v>128</v>
      </c>
      <c r="D53" s="9" t="s">
        <v>129</v>
      </c>
      <c r="E53" s="10">
        <f t="shared" si="3"/>
        <v>6311679</v>
      </c>
      <c r="F53" s="11">
        <f>5950079+100000+10000+1600+250000</f>
        <v>6311679</v>
      </c>
      <c r="G53" s="11">
        <f>4688739+255000</f>
        <v>4943739</v>
      </c>
      <c r="H53" s="11">
        <f>143317+1600</f>
        <v>144917</v>
      </c>
      <c r="I53" s="11">
        <v>0</v>
      </c>
      <c r="J53" s="10">
        <f t="shared" si="4"/>
        <v>0</v>
      </c>
      <c r="K53" s="11">
        <v>0</v>
      </c>
      <c r="L53" s="11">
        <v>0</v>
      </c>
      <c r="M53" s="11">
        <v>0</v>
      </c>
      <c r="N53" s="11">
        <v>0</v>
      </c>
      <c r="O53" s="11">
        <v>0</v>
      </c>
      <c r="P53" s="10">
        <f t="shared" si="1"/>
        <v>6311679</v>
      </c>
      <c r="R53" s="17">
        <v>1</v>
      </c>
    </row>
    <row r="54" spans="1:18" hidden="1" x14ac:dyDescent="0.3">
      <c r="A54" s="3" t="s">
        <v>130</v>
      </c>
      <c r="B54" s="3" t="s">
        <v>131</v>
      </c>
      <c r="C54" s="3" t="s">
        <v>128</v>
      </c>
      <c r="D54" s="9" t="s">
        <v>132</v>
      </c>
      <c r="E54" s="10">
        <f t="shared" si="3"/>
        <v>2545900</v>
      </c>
      <c r="F54" s="11">
        <f>1496400+900000+190000-57500+17000</f>
        <v>2545900</v>
      </c>
      <c r="G54" s="11">
        <v>0</v>
      </c>
      <c r="H54" s="11">
        <v>0</v>
      </c>
      <c r="I54" s="11">
        <v>0</v>
      </c>
      <c r="J54" s="10">
        <f t="shared" si="4"/>
        <v>0</v>
      </c>
      <c r="K54" s="11">
        <v>0</v>
      </c>
      <c r="L54" s="11">
        <v>0</v>
      </c>
      <c r="M54" s="11">
        <v>0</v>
      </c>
      <c r="N54" s="11">
        <v>0</v>
      </c>
      <c r="O54" s="11">
        <v>0</v>
      </c>
      <c r="P54" s="10">
        <f t="shared" si="1"/>
        <v>2545900</v>
      </c>
      <c r="R54" s="17"/>
    </row>
    <row r="55" spans="1:18" ht="49.5" hidden="1" customHeight="1" x14ac:dyDescent="0.3">
      <c r="A55" s="3" t="s">
        <v>133</v>
      </c>
      <c r="B55" s="3" t="s">
        <v>134</v>
      </c>
      <c r="C55" s="3" t="s">
        <v>128</v>
      </c>
      <c r="D55" s="9" t="s">
        <v>135</v>
      </c>
      <c r="E55" s="10">
        <f t="shared" si="3"/>
        <v>218526</v>
      </c>
      <c r="F55" s="11">
        <f>226126-10000+2400</f>
        <v>218526</v>
      </c>
      <c r="G55" s="11">
        <v>96217</v>
      </c>
      <c r="H55" s="11">
        <f>69741-10000</f>
        <v>59741</v>
      </c>
      <c r="I55" s="11">
        <v>0</v>
      </c>
      <c r="J55" s="10">
        <f t="shared" si="4"/>
        <v>0</v>
      </c>
      <c r="K55" s="11">
        <v>0</v>
      </c>
      <c r="L55" s="11">
        <v>0</v>
      </c>
      <c r="M55" s="11">
        <v>0</v>
      </c>
      <c r="N55" s="11">
        <v>0</v>
      </c>
      <c r="O55" s="11">
        <v>0</v>
      </c>
      <c r="P55" s="10">
        <f t="shared" si="1"/>
        <v>218526</v>
      </c>
      <c r="R55" s="18"/>
    </row>
    <row r="56" spans="1:18" ht="27.6" x14ac:dyDescent="0.3">
      <c r="A56" s="3" t="s">
        <v>136</v>
      </c>
      <c r="B56" s="3" t="s">
        <v>137</v>
      </c>
      <c r="C56" s="3" t="s">
        <v>128</v>
      </c>
      <c r="D56" s="9" t="s">
        <v>138</v>
      </c>
      <c r="E56" s="10">
        <f t="shared" si="3"/>
        <v>2217100</v>
      </c>
      <c r="F56" s="11">
        <f>1503800+713300</f>
        <v>2217100</v>
      </c>
      <c r="G56" s="11">
        <f>1248000+592000+15000</f>
        <v>1855000</v>
      </c>
      <c r="H56" s="11">
        <v>0</v>
      </c>
      <c r="I56" s="11">
        <v>0</v>
      </c>
      <c r="J56" s="10">
        <f t="shared" si="4"/>
        <v>0</v>
      </c>
      <c r="K56" s="11">
        <v>0</v>
      </c>
      <c r="L56" s="11">
        <v>0</v>
      </c>
      <c r="M56" s="11">
        <v>0</v>
      </c>
      <c r="N56" s="11">
        <v>0</v>
      </c>
      <c r="O56" s="11">
        <v>0</v>
      </c>
      <c r="P56" s="10">
        <f t="shared" si="1"/>
        <v>2217100</v>
      </c>
      <c r="R56" s="17">
        <v>1</v>
      </c>
    </row>
    <row r="57" spans="1:18" ht="82.8" hidden="1" x14ac:dyDescent="0.3">
      <c r="A57" s="16" t="s">
        <v>185</v>
      </c>
      <c r="B57" s="15">
        <v>1183</v>
      </c>
      <c r="C57" s="15" t="s">
        <v>128</v>
      </c>
      <c r="D57" s="9" t="s">
        <v>186</v>
      </c>
      <c r="E57" s="10">
        <f t="shared" si="3"/>
        <v>84700</v>
      </c>
      <c r="F57" s="11">
        <v>84700</v>
      </c>
      <c r="G57" s="11">
        <v>0</v>
      </c>
      <c r="H57" s="11">
        <v>0</v>
      </c>
      <c r="I57" s="11">
        <v>0</v>
      </c>
      <c r="J57" s="10">
        <f t="shared" si="4"/>
        <v>75300</v>
      </c>
      <c r="K57" s="11">
        <v>75300</v>
      </c>
      <c r="L57" s="11">
        <v>0</v>
      </c>
      <c r="M57" s="11">
        <v>0</v>
      </c>
      <c r="N57" s="11">
        <v>0</v>
      </c>
      <c r="O57" s="11">
        <v>75300</v>
      </c>
      <c r="P57" s="10">
        <f t="shared" si="1"/>
        <v>160000</v>
      </c>
      <c r="Q57" s="19"/>
      <c r="R57" s="18"/>
    </row>
    <row r="58" spans="1:18" ht="82.8" hidden="1" x14ac:dyDescent="0.3">
      <c r="A58" s="16" t="s">
        <v>173</v>
      </c>
      <c r="B58" s="15">
        <v>1184</v>
      </c>
      <c r="C58" s="15" t="s">
        <v>128</v>
      </c>
      <c r="D58" s="9" t="s">
        <v>174</v>
      </c>
      <c r="E58" s="10">
        <f t="shared" si="3"/>
        <v>764700</v>
      </c>
      <c r="F58" s="11">
        <v>764700</v>
      </c>
      <c r="G58" s="11">
        <v>0</v>
      </c>
      <c r="H58" s="11">
        <v>0</v>
      </c>
      <c r="I58" s="11">
        <v>0</v>
      </c>
      <c r="J58" s="10">
        <f t="shared" si="4"/>
        <v>672400</v>
      </c>
      <c r="K58" s="11">
        <v>672400</v>
      </c>
      <c r="L58" s="11">
        <v>0</v>
      </c>
      <c r="M58" s="11">
        <v>0</v>
      </c>
      <c r="N58" s="11">
        <v>0</v>
      </c>
      <c r="O58" s="11">
        <v>672400</v>
      </c>
      <c r="P58" s="10">
        <f t="shared" ref="P58" si="10">E58 + J58</f>
        <v>1437100</v>
      </c>
      <c r="Q58" s="19"/>
      <c r="R58" s="18"/>
    </row>
    <row r="59" spans="1:18" ht="82.8" hidden="1" x14ac:dyDescent="0.3">
      <c r="A59" s="16" t="s">
        <v>175</v>
      </c>
      <c r="B59" s="15">
        <v>1200</v>
      </c>
      <c r="C59" s="15" t="s">
        <v>128</v>
      </c>
      <c r="D59" s="9" t="s">
        <v>176</v>
      </c>
      <c r="E59" s="10">
        <f t="shared" si="3"/>
        <v>396700</v>
      </c>
      <c r="F59" s="11">
        <v>396700</v>
      </c>
      <c r="G59" s="11">
        <v>325200</v>
      </c>
      <c r="H59" s="11">
        <v>0</v>
      </c>
      <c r="I59" s="11">
        <v>0</v>
      </c>
      <c r="J59" s="10">
        <f t="shared" si="4"/>
        <v>0</v>
      </c>
      <c r="K59" s="11"/>
      <c r="L59" s="11">
        <v>0</v>
      </c>
      <c r="M59" s="11">
        <v>0</v>
      </c>
      <c r="N59" s="11">
        <v>0</v>
      </c>
      <c r="O59" s="11">
        <v>0</v>
      </c>
      <c r="P59" s="10">
        <f t="shared" ref="P59" si="11">E59 + J59</f>
        <v>396700</v>
      </c>
      <c r="Q59" s="19"/>
      <c r="R59" s="18"/>
    </row>
    <row r="60" spans="1:18" ht="96.6" hidden="1" x14ac:dyDescent="0.3">
      <c r="A60" s="16" t="s">
        <v>187</v>
      </c>
      <c r="B60" s="15">
        <v>1291</v>
      </c>
      <c r="C60" s="15" t="s">
        <v>128</v>
      </c>
      <c r="D60" s="9" t="s">
        <v>188</v>
      </c>
      <c r="E60" s="10">
        <f t="shared" si="3"/>
        <v>0</v>
      </c>
      <c r="F60" s="11">
        <v>0</v>
      </c>
      <c r="G60" s="11">
        <v>0</v>
      </c>
      <c r="H60" s="11">
        <v>0</v>
      </c>
      <c r="I60" s="11">
        <v>0</v>
      </c>
      <c r="J60" s="10">
        <f t="shared" si="4"/>
        <v>54000</v>
      </c>
      <c r="K60" s="11">
        <f>20000+34000</f>
        <v>54000</v>
      </c>
      <c r="L60" s="11">
        <v>0</v>
      </c>
      <c r="M60" s="11">
        <v>0</v>
      </c>
      <c r="N60" s="11">
        <v>0</v>
      </c>
      <c r="O60" s="11">
        <f>20000+34000</f>
        <v>54000</v>
      </c>
      <c r="P60" s="10">
        <f t="shared" ref="P60:P63" si="12">E60 + J60</f>
        <v>54000</v>
      </c>
      <c r="Q60" s="19"/>
      <c r="R60" s="18"/>
    </row>
    <row r="61" spans="1:18" ht="96.6" hidden="1" x14ac:dyDescent="0.3">
      <c r="A61" s="16" t="s">
        <v>195</v>
      </c>
      <c r="B61" s="15">
        <v>1292</v>
      </c>
      <c r="C61" s="15" t="s">
        <v>128</v>
      </c>
      <c r="D61" s="9" t="s">
        <v>196</v>
      </c>
      <c r="E61" s="10">
        <f t="shared" si="3"/>
        <v>0</v>
      </c>
      <c r="F61" s="11">
        <v>0</v>
      </c>
      <c r="G61" s="11">
        <v>0</v>
      </c>
      <c r="H61" s="11">
        <v>0</v>
      </c>
      <c r="I61" s="11">
        <v>0</v>
      </c>
      <c r="J61" s="10">
        <f t="shared" si="4"/>
        <v>1266541.94</v>
      </c>
      <c r="K61" s="11">
        <v>0</v>
      </c>
      <c r="L61" s="11">
        <v>166368.93</v>
      </c>
      <c r="M61" s="11">
        <v>0</v>
      </c>
      <c r="N61" s="11">
        <v>0</v>
      </c>
      <c r="O61" s="11">
        <f>794173.01+306000</f>
        <v>1100173.01</v>
      </c>
      <c r="P61" s="10">
        <f t="shared" ref="P61" si="13">E61 + J61</f>
        <v>1266541.94</v>
      </c>
      <c r="Q61" s="19"/>
      <c r="R61" s="18"/>
    </row>
    <row r="62" spans="1:18" ht="55.2" hidden="1" x14ac:dyDescent="0.3">
      <c r="A62" s="16" t="s">
        <v>193</v>
      </c>
      <c r="B62" s="15">
        <v>1403</v>
      </c>
      <c r="C62" s="15" t="s">
        <v>128</v>
      </c>
      <c r="D62" s="9" t="s">
        <v>194</v>
      </c>
      <c r="E62" s="10">
        <f t="shared" si="3"/>
        <v>0</v>
      </c>
      <c r="F62" s="11">
        <v>0</v>
      </c>
      <c r="G62" s="11">
        <v>0</v>
      </c>
      <c r="H62" s="11">
        <v>0</v>
      </c>
      <c r="I62" s="11">
        <v>0</v>
      </c>
      <c r="J62" s="10">
        <f t="shared" si="4"/>
        <v>3288300</v>
      </c>
      <c r="K62" s="11"/>
      <c r="L62" s="11">
        <v>3288300</v>
      </c>
      <c r="M62" s="11">
        <v>0</v>
      </c>
      <c r="N62" s="11">
        <v>0</v>
      </c>
      <c r="O62" s="11">
        <v>0</v>
      </c>
      <c r="P62" s="10">
        <f t="shared" si="12"/>
        <v>3288300</v>
      </c>
      <c r="Q62" s="19"/>
      <c r="R62" s="18"/>
    </row>
    <row r="63" spans="1:18" ht="96.6" hidden="1" x14ac:dyDescent="0.3">
      <c r="A63" s="16" t="s">
        <v>206</v>
      </c>
      <c r="B63" s="29">
        <v>1501</v>
      </c>
      <c r="C63" s="29" t="s">
        <v>128</v>
      </c>
      <c r="D63" s="9" t="s">
        <v>207</v>
      </c>
      <c r="E63" s="10">
        <f t="shared" ref="E63" si="14">F63+I63</f>
        <v>0</v>
      </c>
      <c r="F63" s="11">
        <v>0</v>
      </c>
      <c r="G63" s="11">
        <v>0</v>
      </c>
      <c r="H63" s="11">
        <v>0</v>
      </c>
      <c r="I63" s="11">
        <v>0</v>
      </c>
      <c r="J63" s="10">
        <f t="shared" ref="J63" si="15">L63+O63</f>
        <v>84700</v>
      </c>
      <c r="K63" s="11">
        <v>0</v>
      </c>
      <c r="L63" s="11">
        <v>84700</v>
      </c>
      <c r="M63" s="11">
        <v>69500</v>
      </c>
      <c r="N63" s="11">
        <v>0</v>
      </c>
      <c r="O63" s="11">
        <v>0</v>
      </c>
      <c r="P63" s="10">
        <f t="shared" si="12"/>
        <v>84700</v>
      </c>
      <c r="Q63" s="19"/>
      <c r="R63" s="18"/>
    </row>
    <row r="64" spans="1:18" ht="55.2" hidden="1" x14ac:dyDescent="0.3">
      <c r="A64" s="16" t="s">
        <v>177</v>
      </c>
      <c r="B64" s="15">
        <v>1600</v>
      </c>
      <c r="C64" s="15" t="s">
        <v>128</v>
      </c>
      <c r="D64" s="9" t="s">
        <v>178</v>
      </c>
      <c r="E64" s="10">
        <f t="shared" si="3"/>
        <v>9913000</v>
      </c>
      <c r="F64" s="11">
        <f>4101400+139600+5672000</f>
        <v>9913000</v>
      </c>
      <c r="G64" s="11">
        <f>3361800+114430+4649180</f>
        <v>8125410</v>
      </c>
      <c r="H64" s="11">
        <v>0</v>
      </c>
      <c r="I64" s="11">
        <v>0</v>
      </c>
      <c r="J64" s="10">
        <f t="shared" si="4"/>
        <v>0</v>
      </c>
      <c r="K64" s="11"/>
      <c r="L64" s="11">
        <v>0</v>
      </c>
      <c r="M64" s="11">
        <v>0</v>
      </c>
      <c r="N64" s="11">
        <v>0</v>
      </c>
      <c r="O64" s="11">
        <v>0</v>
      </c>
      <c r="P64" s="10">
        <f t="shared" ref="P64:P65" si="16">E64 + J64</f>
        <v>9913000</v>
      </c>
      <c r="Q64" s="19"/>
      <c r="R64" s="18"/>
    </row>
    <row r="65" spans="1:18" ht="33.75" hidden="1" customHeight="1" x14ac:dyDescent="0.3">
      <c r="A65" s="16" t="s">
        <v>209</v>
      </c>
      <c r="B65" s="30">
        <v>1702</v>
      </c>
      <c r="C65" s="30">
        <v>990</v>
      </c>
      <c r="D65" s="9" t="s">
        <v>208</v>
      </c>
      <c r="E65" s="10">
        <f t="shared" si="3"/>
        <v>2601500</v>
      </c>
      <c r="F65" s="11">
        <v>2601500</v>
      </c>
      <c r="G65" s="11"/>
      <c r="H65" s="11"/>
      <c r="I65" s="11"/>
      <c r="J65" s="10">
        <f t="shared" si="4"/>
        <v>0</v>
      </c>
      <c r="K65" s="11"/>
      <c r="L65" s="11"/>
      <c r="M65" s="11"/>
      <c r="N65" s="11"/>
      <c r="O65" s="11"/>
      <c r="P65" s="10">
        <f t="shared" si="16"/>
        <v>2601500</v>
      </c>
      <c r="Q65" s="19"/>
      <c r="R65" s="18"/>
    </row>
    <row r="66" spans="1:18" ht="47.25" hidden="1" customHeight="1" x14ac:dyDescent="0.3">
      <c r="A66" s="16" t="s">
        <v>189</v>
      </c>
      <c r="B66" s="15">
        <v>3230</v>
      </c>
      <c r="C66" s="15">
        <v>1070</v>
      </c>
      <c r="D66" s="9" t="s">
        <v>190</v>
      </c>
      <c r="E66" s="10">
        <f t="shared" si="3"/>
        <v>20000</v>
      </c>
      <c r="F66" s="11">
        <v>20000</v>
      </c>
      <c r="G66" s="11">
        <v>0</v>
      </c>
      <c r="H66" s="11">
        <v>0</v>
      </c>
      <c r="I66" s="11">
        <v>0</v>
      </c>
      <c r="J66" s="10">
        <f t="shared" si="4"/>
        <v>0</v>
      </c>
      <c r="K66" s="11"/>
      <c r="L66" s="11">
        <v>0</v>
      </c>
      <c r="M66" s="11">
        <v>0</v>
      </c>
      <c r="N66" s="11">
        <v>0</v>
      </c>
      <c r="O66" s="11">
        <v>0</v>
      </c>
      <c r="P66" s="10">
        <f t="shared" ref="P66" si="17">E66 + J66</f>
        <v>20000</v>
      </c>
      <c r="Q66" s="19"/>
      <c r="R66" s="18"/>
    </row>
    <row r="67" spans="1:18" hidden="1" x14ac:dyDescent="0.3">
      <c r="A67" s="3" t="s">
        <v>139</v>
      </c>
      <c r="B67" s="3" t="s">
        <v>140</v>
      </c>
      <c r="C67" s="3" t="s">
        <v>141</v>
      </c>
      <c r="D67" s="9" t="s">
        <v>142</v>
      </c>
      <c r="E67" s="10">
        <f t="shared" si="3"/>
        <v>3675564</v>
      </c>
      <c r="F67" s="11">
        <f>3594864+10000+50000+20700</f>
        <v>3675564</v>
      </c>
      <c r="G67" s="11">
        <v>2457165</v>
      </c>
      <c r="H67" s="11">
        <f>549123+10000+2700</f>
        <v>561823</v>
      </c>
      <c r="I67" s="11">
        <v>0</v>
      </c>
      <c r="J67" s="10">
        <f t="shared" si="4"/>
        <v>55700</v>
      </c>
      <c r="K67" s="11">
        <f>50000-14300+20000</f>
        <v>55700</v>
      </c>
      <c r="L67" s="11">
        <v>0</v>
      </c>
      <c r="M67" s="11">
        <v>0</v>
      </c>
      <c r="N67" s="11">
        <v>0</v>
      </c>
      <c r="O67" s="11">
        <f>50000-14300+20000</f>
        <v>55700</v>
      </c>
      <c r="P67" s="10">
        <f t="shared" si="1"/>
        <v>3731264</v>
      </c>
      <c r="R67" s="17"/>
    </row>
    <row r="68" spans="1:18" ht="41.4" x14ac:dyDescent="0.3">
      <c r="A68" s="3" t="s">
        <v>143</v>
      </c>
      <c r="B68" s="3" t="s">
        <v>144</v>
      </c>
      <c r="C68" s="3" t="s">
        <v>145</v>
      </c>
      <c r="D68" s="9" t="s">
        <v>146</v>
      </c>
      <c r="E68" s="10">
        <f t="shared" si="3"/>
        <v>4807913</v>
      </c>
      <c r="F68" s="11">
        <f>4402913+98000+12000+5000+180000+25000+85000</f>
        <v>4807913</v>
      </c>
      <c r="G68" s="11">
        <f>2828765+60000+70000</f>
        <v>2958765</v>
      </c>
      <c r="H68" s="11">
        <f>908820+12000+180000</f>
        <v>1100820</v>
      </c>
      <c r="I68" s="11">
        <v>0</v>
      </c>
      <c r="J68" s="10">
        <f t="shared" si="4"/>
        <v>222500</v>
      </c>
      <c r="K68" s="11">
        <f>323400-223400-85700+181200+27000</f>
        <v>222500</v>
      </c>
      <c r="L68" s="11">
        <v>0</v>
      </c>
      <c r="M68" s="11">
        <v>0</v>
      </c>
      <c r="N68" s="11">
        <v>0</v>
      </c>
      <c r="O68" s="11">
        <f>323400-223400-85700+181200+27000</f>
        <v>222500</v>
      </c>
      <c r="P68" s="10">
        <f t="shared" si="1"/>
        <v>5030413</v>
      </c>
      <c r="R68" s="17">
        <v>1</v>
      </c>
    </row>
    <row r="69" spans="1:18" hidden="1" x14ac:dyDescent="0.3">
      <c r="A69" s="3" t="s">
        <v>147</v>
      </c>
      <c r="B69" s="3" t="s">
        <v>148</v>
      </c>
      <c r="C69" s="3" t="s">
        <v>149</v>
      </c>
      <c r="D69" s="9" t="s">
        <v>150</v>
      </c>
      <c r="E69" s="10">
        <f t="shared" si="3"/>
        <v>156189</v>
      </c>
      <c r="F69" s="11">
        <f>100000+36189+20000</f>
        <v>156189</v>
      </c>
      <c r="G69" s="11">
        <v>0</v>
      </c>
      <c r="H69" s="11">
        <v>0</v>
      </c>
      <c r="I69" s="11">
        <v>0</v>
      </c>
      <c r="J69" s="10">
        <f t="shared" si="4"/>
        <v>0</v>
      </c>
      <c r="K69" s="11">
        <v>0</v>
      </c>
      <c r="L69" s="11">
        <v>0</v>
      </c>
      <c r="M69" s="11">
        <v>0</v>
      </c>
      <c r="N69" s="11">
        <v>0</v>
      </c>
      <c r="O69" s="11">
        <v>0</v>
      </c>
      <c r="P69" s="10">
        <f t="shared" si="1"/>
        <v>156189</v>
      </c>
      <c r="R69" s="18"/>
    </row>
    <row r="70" spans="1:18" ht="41.4" hidden="1" x14ac:dyDescent="0.3">
      <c r="A70" s="15" t="s">
        <v>151</v>
      </c>
      <c r="B70" s="15" t="s">
        <v>152</v>
      </c>
      <c r="C70" s="15" t="s">
        <v>153</v>
      </c>
      <c r="D70" s="9" t="s">
        <v>172</v>
      </c>
      <c r="E70" s="10">
        <f t="shared" si="3"/>
        <v>2690218</v>
      </c>
      <c r="F70" s="11">
        <f>2327647+342571+20000</f>
        <v>2690218</v>
      </c>
      <c r="G70" s="11">
        <v>1764202</v>
      </c>
      <c r="H70" s="11">
        <v>114821</v>
      </c>
      <c r="I70" s="11">
        <v>0</v>
      </c>
      <c r="J70" s="10">
        <f t="shared" si="4"/>
        <v>0</v>
      </c>
      <c r="K70" s="11">
        <v>0</v>
      </c>
      <c r="L70" s="11">
        <v>0</v>
      </c>
      <c r="M70" s="11">
        <v>0</v>
      </c>
      <c r="N70" s="11">
        <v>0</v>
      </c>
      <c r="O70" s="11">
        <v>0</v>
      </c>
      <c r="P70" s="10">
        <f t="shared" ref="P70" si="18">E70 + J70</f>
        <v>2690218</v>
      </c>
      <c r="R70" s="17"/>
    </row>
    <row r="71" spans="1:18" ht="27.6" hidden="1" x14ac:dyDescent="0.3">
      <c r="A71" s="16" t="s">
        <v>192</v>
      </c>
      <c r="B71" s="3">
        <v>8110</v>
      </c>
      <c r="C71" s="16" t="s">
        <v>191</v>
      </c>
      <c r="D71" s="9" t="s">
        <v>182</v>
      </c>
      <c r="E71" s="10">
        <f t="shared" si="3"/>
        <v>200000</v>
      </c>
      <c r="F71" s="11">
        <v>200000</v>
      </c>
      <c r="G71" s="11">
        <v>0</v>
      </c>
      <c r="H71" s="11">
        <v>0</v>
      </c>
      <c r="I71" s="11">
        <v>0</v>
      </c>
      <c r="J71" s="10">
        <f t="shared" si="4"/>
        <v>0</v>
      </c>
      <c r="K71" s="11">
        <v>0</v>
      </c>
      <c r="L71" s="11">
        <v>0</v>
      </c>
      <c r="M71" s="11">
        <v>0</v>
      </c>
      <c r="N71" s="11">
        <v>0</v>
      </c>
      <c r="O71" s="11">
        <v>0</v>
      </c>
      <c r="P71" s="10">
        <f t="shared" si="1"/>
        <v>200000</v>
      </c>
      <c r="R71" s="17"/>
    </row>
    <row r="72" spans="1:18" ht="27.6" x14ac:dyDescent="0.3">
      <c r="A72" s="5" t="s">
        <v>154</v>
      </c>
      <c r="B72" s="5" t="s">
        <v>20</v>
      </c>
      <c r="C72" s="5" t="s">
        <v>20</v>
      </c>
      <c r="D72" s="6" t="s">
        <v>169</v>
      </c>
      <c r="E72" s="7">
        <f>E73</f>
        <v>3640450</v>
      </c>
      <c r="F72" s="8">
        <f t="shared" ref="F72:O72" si="19">F73</f>
        <v>3640450</v>
      </c>
      <c r="G72" s="8">
        <f t="shared" si="19"/>
        <v>1451556</v>
      </c>
      <c r="H72" s="8">
        <f t="shared" si="19"/>
        <v>51972</v>
      </c>
      <c r="I72" s="8">
        <f t="shared" si="19"/>
        <v>0</v>
      </c>
      <c r="J72" s="7">
        <f t="shared" si="19"/>
        <v>1689830</v>
      </c>
      <c r="K72" s="8">
        <f t="shared" si="19"/>
        <v>1689830</v>
      </c>
      <c r="L72" s="8">
        <f t="shared" si="19"/>
        <v>0</v>
      </c>
      <c r="M72" s="8">
        <f t="shared" si="19"/>
        <v>0</v>
      </c>
      <c r="N72" s="8">
        <f t="shared" si="19"/>
        <v>0</v>
      </c>
      <c r="O72" s="8">
        <f t="shared" si="19"/>
        <v>1689830</v>
      </c>
      <c r="P72" s="7">
        <f t="shared" si="1"/>
        <v>5330280</v>
      </c>
      <c r="R72" s="20">
        <v>1</v>
      </c>
    </row>
    <row r="73" spans="1:18" ht="27.6" x14ac:dyDescent="0.3">
      <c r="A73" s="5" t="s">
        <v>155</v>
      </c>
      <c r="B73" s="5" t="s">
        <v>20</v>
      </c>
      <c r="C73" s="5" t="s">
        <v>20</v>
      </c>
      <c r="D73" s="6" t="s">
        <v>170</v>
      </c>
      <c r="E73" s="7">
        <f t="shared" ref="E73:K73" si="20">SUM(E74:E76)</f>
        <v>3640450</v>
      </c>
      <c r="F73" s="8">
        <f t="shared" si="20"/>
        <v>3640450</v>
      </c>
      <c r="G73" s="8">
        <f t="shared" si="20"/>
        <v>1451556</v>
      </c>
      <c r="H73" s="8">
        <f t="shared" si="20"/>
        <v>51972</v>
      </c>
      <c r="I73" s="8">
        <f t="shared" si="20"/>
        <v>0</v>
      </c>
      <c r="J73" s="7">
        <f t="shared" si="20"/>
        <v>1689830</v>
      </c>
      <c r="K73" s="8">
        <f t="shared" si="20"/>
        <v>1689830</v>
      </c>
      <c r="L73" s="8">
        <f t="shared" ref="L73:N73" si="21">SUM(L74:L75)</f>
        <v>0</v>
      </c>
      <c r="M73" s="8">
        <f t="shared" si="21"/>
        <v>0</v>
      </c>
      <c r="N73" s="8">
        <f t="shared" si="21"/>
        <v>0</v>
      </c>
      <c r="O73" s="8">
        <f>SUM(O74:O76)</f>
        <v>1689830</v>
      </c>
      <c r="P73" s="7">
        <f t="shared" si="1"/>
        <v>5330280</v>
      </c>
      <c r="R73" s="20">
        <v>1</v>
      </c>
    </row>
    <row r="74" spans="1:18" ht="41.4" x14ac:dyDescent="0.3">
      <c r="A74" s="3" t="s">
        <v>156</v>
      </c>
      <c r="B74" s="3" t="s">
        <v>108</v>
      </c>
      <c r="C74" s="3" t="s">
        <v>24</v>
      </c>
      <c r="D74" s="9" t="s">
        <v>109</v>
      </c>
      <c r="E74" s="10">
        <f t="shared" si="3"/>
        <v>1885450</v>
      </c>
      <c r="F74" s="11">
        <f>1750170+100880+9400+25000</f>
        <v>1885450</v>
      </c>
      <c r="G74" s="11">
        <f>1384598+66958</f>
        <v>1451556</v>
      </c>
      <c r="H74" s="11">
        <f>39572+9400+3000</f>
        <v>51972</v>
      </c>
      <c r="I74" s="11">
        <v>0</v>
      </c>
      <c r="J74" s="10">
        <f t="shared" si="4"/>
        <v>69930</v>
      </c>
      <c r="K74" s="11">
        <f>70000-70</f>
        <v>69930</v>
      </c>
      <c r="L74" s="11">
        <v>0</v>
      </c>
      <c r="M74" s="11">
        <v>0</v>
      </c>
      <c r="N74" s="11">
        <v>0</v>
      </c>
      <c r="O74" s="11">
        <f>70000-70</f>
        <v>69930</v>
      </c>
      <c r="P74" s="10">
        <f t="shared" si="1"/>
        <v>1955380</v>
      </c>
      <c r="R74" s="17">
        <v>1</v>
      </c>
    </row>
    <row r="75" spans="1:18" hidden="1" x14ac:dyDescent="0.3">
      <c r="A75" s="3" t="s">
        <v>157</v>
      </c>
      <c r="B75" s="3" t="s">
        <v>158</v>
      </c>
      <c r="C75" s="3" t="s">
        <v>27</v>
      </c>
      <c r="D75" s="9" t="s">
        <v>159</v>
      </c>
      <c r="E75" s="10">
        <f t="shared" si="3"/>
        <v>70000</v>
      </c>
      <c r="F75" s="11">
        <f>200000+50000-200000+20000</f>
        <v>70000</v>
      </c>
      <c r="G75" s="11">
        <v>0</v>
      </c>
      <c r="H75" s="11">
        <v>0</v>
      </c>
      <c r="I75" s="11">
        <v>0</v>
      </c>
      <c r="J75" s="10">
        <f t="shared" si="4"/>
        <v>1230600</v>
      </c>
      <c r="K75" s="11">
        <f>450000+580600+200000</f>
        <v>1230600</v>
      </c>
      <c r="L75" s="11">
        <v>0</v>
      </c>
      <c r="M75" s="11">
        <v>0</v>
      </c>
      <c r="N75" s="11">
        <v>0</v>
      </c>
      <c r="O75" s="11">
        <f>450000+580600+200000</f>
        <v>1230600</v>
      </c>
      <c r="P75" s="10">
        <f t="shared" si="1"/>
        <v>1300600</v>
      </c>
      <c r="R75" s="18"/>
    </row>
    <row r="76" spans="1:18" ht="41.4" hidden="1" x14ac:dyDescent="0.3">
      <c r="A76" s="23">
        <v>3719800</v>
      </c>
      <c r="B76" s="23">
        <v>9800</v>
      </c>
      <c r="C76" s="23" t="s">
        <v>200</v>
      </c>
      <c r="D76" s="9" t="s">
        <v>199</v>
      </c>
      <c r="E76" s="10">
        <f t="shared" si="3"/>
        <v>1685000</v>
      </c>
      <c r="F76" s="11">
        <f>50000+325000+800000+50000+400000+10000+50000</f>
        <v>1685000</v>
      </c>
      <c r="G76" s="11"/>
      <c r="H76" s="11"/>
      <c r="I76" s="11"/>
      <c r="J76" s="10">
        <f t="shared" si="4"/>
        <v>389300</v>
      </c>
      <c r="K76" s="11">
        <f>114300+275000</f>
        <v>389300</v>
      </c>
      <c r="L76" s="11"/>
      <c r="M76" s="11"/>
      <c r="N76" s="11"/>
      <c r="O76" s="11">
        <f>114300+275000</f>
        <v>389300</v>
      </c>
      <c r="P76" s="10">
        <f t="shared" si="1"/>
        <v>2074300</v>
      </c>
      <c r="R76" s="18"/>
    </row>
    <row r="77" spans="1:18" x14ac:dyDescent="0.3">
      <c r="A77" s="12" t="s">
        <v>161</v>
      </c>
      <c r="B77" s="12" t="s">
        <v>161</v>
      </c>
      <c r="C77" s="12" t="s">
        <v>161</v>
      </c>
      <c r="D77" s="13" t="s">
        <v>160</v>
      </c>
      <c r="E77" s="7">
        <f>E14+E45+E72</f>
        <v>292678733.14999998</v>
      </c>
      <c r="F77" s="7">
        <f t="shared" ref="F77:O77" si="22">F14+F45+F72</f>
        <v>275655822.14999998</v>
      </c>
      <c r="G77" s="7">
        <f t="shared" si="22"/>
        <v>171623073</v>
      </c>
      <c r="H77" s="7">
        <f t="shared" si="22"/>
        <v>23202818</v>
      </c>
      <c r="I77" s="7">
        <f t="shared" si="22"/>
        <v>17022911</v>
      </c>
      <c r="J77" s="7">
        <f t="shared" si="22"/>
        <v>19401333.66</v>
      </c>
      <c r="K77" s="7">
        <f t="shared" si="22"/>
        <v>12684362</v>
      </c>
      <c r="L77" s="7">
        <f t="shared" si="22"/>
        <v>5423568.9299999997</v>
      </c>
      <c r="M77" s="7">
        <f t="shared" si="22"/>
        <v>219255</v>
      </c>
      <c r="N77" s="7">
        <f t="shared" si="22"/>
        <v>0</v>
      </c>
      <c r="O77" s="7">
        <f t="shared" si="22"/>
        <v>13977764.73</v>
      </c>
      <c r="P77" s="7">
        <f t="shared" si="1"/>
        <v>312080066.81</v>
      </c>
      <c r="R77" s="20">
        <v>1</v>
      </c>
    </row>
    <row r="81" spans="1:18" x14ac:dyDescent="0.3">
      <c r="A81" s="44"/>
      <c r="B81" s="44"/>
      <c r="C81" s="44"/>
      <c r="D81" s="44"/>
      <c r="E81" s="44"/>
      <c r="F81" s="44"/>
      <c r="G81" s="44"/>
      <c r="H81" s="44"/>
      <c r="I81" s="44"/>
      <c r="J81" s="44"/>
      <c r="K81" s="44"/>
      <c r="L81" s="44"/>
      <c r="M81" s="44"/>
      <c r="N81" s="44"/>
      <c r="O81" s="44"/>
      <c r="P81" s="44"/>
    </row>
    <row r="82" spans="1:18" s="35" customFormat="1" ht="17.399999999999999" x14ac:dyDescent="0.3">
      <c r="C82" s="35" t="s">
        <v>162</v>
      </c>
      <c r="M82" s="43" t="s">
        <v>163</v>
      </c>
      <c r="N82" s="43"/>
      <c r="Q82" s="36"/>
      <c r="R82" s="36"/>
    </row>
    <row r="86" spans="1:18" ht="20.25" customHeight="1" x14ac:dyDescent="0.3"/>
    <row r="87" spans="1:18" ht="138.75" hidden="1" customHeight="1" x14ac:dyDescent="0.3"/>
    <row r="88" spans="1:18" ht="67.5" hidden="1" customHeight="1" x14ac:dyDescent="0.3">
      <c r="D88" t="s">
        <v>198</v>
      </c>
      <c r="E88" s="21">
        <v>289534133.14999998</v>
      </c>
      <c r="F88" s="21">
        <v>274361222.14999998</v>
      </c>
      <c r="G88" s="21">
        <v>171314246</v>
      </c>
      <c r="H88" s="21">
        <v>23279388</v>
      </c>
      <c r="I88" s="21">
        <v>15172911</v>
      </c>
      <c r="J88" s="21">
        <v>18550633.66</v>
      </c>
      <c r="K88" s="21">
        <v>11833662</v>
      </c>
      <c r="L88" s="21">
        <v>5423568.9299999997</v>
      </c>
      <c r="M88" s="21">
        <v>219255</v>
      </c>
      <c r="N88" s="21">
        <v>0</v>
      </c>
      <c r="O88" s="21">
        <v>13127064.73</v>
      </c>
      <c r="P88" s="21">
        <v>308084766.81</v>
      </c>
    </row>
    <row r="89" spans="1:18" ht="57" hidden="1" customHeight="1" x14ac:dyDescent="0.3">
      <c r="D89" t="s">
        <v>197</v>
      </c>
      <c r="E89" s="22">
        <f>E77-E88</f>
        <v>3144600</v>
      </c>
      <c r="F89" s="22">
        <f t="shared" ref="F89:O89" si="23">F77-F88</f>
        <v>1294600</v>
      </c>
      <c r="G89" s="22">
        <f t="shared" si="23"/>
        <v>308827</v>
      </c>
      <c r="H89" s="22">
        <f t="shared" si="23"/>
        <v>-76570</v>
      </c>
      <c r="I89" s="22">
        <f t="shared" si="23"/>
        <v>1850000</v>
      </c>
      <c r="J89" s="22">
        <f t="shared" si="23"/>
        <v>850700</v>
      </c>
      <c r="K89" s="22">
        <f t="shared" si="23"/>
        <v>850700</v>
      </c>
      <c r="L89" s="22">
        <f t="shared" si="23"/>
        <v>0</v>
      </c>
      <c r="M89" s="22">
        <f t="shared" si="23"/>
        <v>0</v>
      </c>
      <c r="N89" s="22">
        <f t="shared" si="23"/>
        <v>0</v>
      </c>
      <c r="O89" s="22">
        <f t="shared" si="23"/>
        <v>850700</v>
      </c>
      <c r="P89" s="22">
        <f>P77-P88</f>
        <v>3995300</v>
      </c>
    </row>
    <row r="90" spans="1:18" ht="138.75" hidden="1" customHeight="1" x14ac:dyDescent="0.3">
      <c r="E90" s="21"/>
      <c r="F90" s="21"/>
      <c r="I90" s="21"/>
    </row>
  </sheetData>
  <autoFilter ref="A13:R77">
    <filterColumn colId="17">
      <customFilters>
        <customFilter operator="notEqual" val=" "/>
      </customFilters>
    </filterColumn>
  </autoFilter>
  <mergeCells count="24">
    <mergeCell ref="M10:N10"/>
    <mergeCell ref="M11:M12"/>
    <mergeCell ref="N11:N12"/>
    <mergeCell ref="M82:N82"/>
    <mergeCell ref="A81:P81"/>
    <mergeCell ref="G11:G12"/>
    <mergeCell ref="H11:H12"/>
    <mergeCell ref="I10:I12"/>
    <mergeCell ref="A5:P5"/>
    <mergeCell ref="A6:P6"/>
    <mergeCell ref="A9:A12"/>
    <mergeCell ref="B9:B12"/>
    <mergeCell ref="C9:C12"/>
    <mergeCell ref="D9:D12"/>
    <mergeCell ref="E9:I9"/>
    <mergeCell ref="E10:E12"/>
    <mergeCell ref="F10:F12"/>
    <mergeCell ref="G10:H10"/>
    <mergeCell ref="O10:O12"/>
    <mergeCell ref="P9:P12"/>
    <mergeCell ref="J9:O9"/>
    <mergeCell ref="J10:J12"/>
    <mergeCell ref="K10:K12"/>
    <mergeCell ref="L10:L12"/>
  </mergeCells>
  <printOptions horizontalCentered="1"/>
  <pageMargins left="0.19685039370078741" right="0.19685039370078741" top="1.1811023622047245" bottom="0.19685039370078741" header="0" footer="0"/>
  <pageSetup paperSize="9" scale="58" fitToHeight="500" orientation="landscape" blackAndWhite="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дод3</vt:lpstr>
      <vt:lpstr>дод3!Заголовки_для_печати</vt:lpstr>
      <vt:lpstr>дод3!Область_печати</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Comp2</dc:creator>
  <cp:lastModifiedBy>user</cp:lastModifiedBy>
  <cp:lastPrinted>2025-12-09T13:06:06Z</cp:lastPrinted>
  <dcterms:created xsi:type="dcterms:W3CDTF">2024-12-16T07:39:06Z</dcterms:created>
  <dcterms:modified xsi:type="dcterms:W3CDTF">2025-12-09T13:06:56Z</dcterms:modified>
</cp:coreProperties>
</file>