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M:\2024\рішення\-12-2024№\"/>
    </mc:Choice>
  </mc:AlternateContent>
  <bookViews>
    <workbookView xWindow="0" yWindow="0" windowWidth="10215" windowHeight="7410"/>
  </bookViews>
  <sheets>
    <sheet name="Дод3" sheetId="1" r:id="rId1"/>
  </sheets>
  <definedNames>
    <definedName name="_xlnm._FilterDatabase" localSheetId="0" hidden="1">Дод3!$A$13:$R$73</definedName>
    <definedName name="_xlnm.Print_Titles" localSheetId="0">Дод3!$9:$12</definedName>
    <definedName name="_xlnm.Print_Area" localSheetId="0">Дод3!$A$1:$P$78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1" l="1"/>
  <c r="O29" i="1" l="1"/>
  <c r="K29" i="1"/>
  <c r="O46" i="1" l="1"/>
  <c r="J46" i="1"/>
  <c r="F65" i="1"/>
  <c r="H64" i="1"/>
  <c r="F64" i="1"/>
  <c r="H63" i="1"/>
  <c r="F63" i="1"/>
  <c r="G55" i="1"/>
  <c r="H54" i="1"/>
  <c r="G54" i="1"/>
  <c r="F54" i="1"/>
  <c r="F53" i="1"/>
  <c r="G52" i="1"/>
  <c r="F52" i="1"/>
  <c r="H50" i="1"/>
  <c r="F50" i="1"/>
  <c r="H49" i="1"/>
  <c r="F49" i="1"/>
  <c r="G47" i="1"/>
  <c r="H46" i="1"/>
  <c r="F46" i="1"/>
  <c r="H45" i="1"/>
  <c r="G45" i="1"/>
  <c r="F45" i="1"/>
  <c r="G44" i="1"/>
  <c r="F44" i="1"/>
  <c r="H18" i="1"/>
  <c r="G18" i="1"/>
  <c r="K46" i="1"/>
  <c r="G69" i="1"/>
  <c r="F69" i="1"/>
  <c r="I28" i="1"/>
  <c r="G25" i="1"/>
  <c r="F25" i="1"/>
  <c r="G24" i="1"/>
  <c r="F24" i="1"/>
  <c r="F19" i="1"/>
  <c r="F18" i="1"/>
  <c r="G17" i="1"/>
  <c r="F17" i="1"/>
  <c r="F62" i="1"/>
  <c r="F58" i="1"/>
  <c r="H25" i="1"/>
  <c r="O60" i="1" l="1"/>
  <c r="K60" i="1"/>
  <c r="O61" i="1" l="1"/>
  <c r="G49" i="1" l="1"/>
  <c r="G46" i="1"/>
  <c r="F39" i="1"/>
  <c r="I30" i="1"/>
  <c r="F27" i="1"/>
  <c r="O45" i="1" l="1"/>
  <c r="K45" i="1"/>
  <c r="J62" i="1" l="1"/>
  <c r="E62" i="1"/>
  <c r="P62" i="1" l="1"/>
  <c r="J39" i="1"/>
  <c r="E39" i="1"/>
  <c r="F35" i="1"/>
  <c r="F34" i="1"/>
  <c r="F31" i="1"/>
  <c r="H29" i="1"/>
  <c r="F29" i="1"/>
  <c r="F21" i="1"/>
  <c r="P39" i="1" l="1"/>
  <c r="F20" i="1"/>
  <c r="F66" i="1" l="1"/>
  <c r="O71" i="1" l="1"/>
  <c r="K71" i="1"/>
  <c r="K63" i="1"/>
  <c r="O63" i="1"/>
  <c r="K19" i="1"/>
  <c r="O19" i="1"/>
  <c r="O16" i="1"/>
  <c r="K16" i="1"/>
  <c r="J71" i="1"/>
  <c r="P71" i="1" s="1"/>
  <c r="E71" i="1"/>
  <c r="F68" i="1"/>
  <c r="L41" i="1"/>
  <c r="H24" i="1" l="1"/>
  <c r="K15" i="1"/>
  <c r="J16" i="1"/>
  <c r="O15" i="1"/>
  <c r="N15" i="1"/>
  <c r="M15" i="1"/>
  <c r="L15" i="1"/>
  <c r="I15" i="1"/>
  <c r="H15" i="1"/>
  <c r="G15" i="1"/>
  <c r="F15" i="1"/>
  <c r="E16" i="1"/>
  <c r="E56" i="1"/>
  <c r="J57" i="1"/>
  <c r="P57" i="1" s="1"/>
  <c r="J56" i="1"/>
  <c r="P16" i="1" l="1"/>
  <c r="P56" i="1"/>
  <c r="E72" i="1"/>
  <c r="E70" i="1"/>
  <c r="O68" i="1" l="1"/>
  <c r="N68" i="1"/>
  <c r="M68" i="1"/>
  <c r="L68" i="1"/>
  <c r="K68" i="1"/>
  <c r="J72" i="1"/>
  <c r="O33" i="1" l="1"/>
  <c r="K33" i="1"/>
  <c r="H17" i="1"/>
  <c r="I68" i="1" l="1"/>
  <c r="H68" i="1" l="1"/>
  <c r="G68" i="1" l="1"/>
  <c r="P72" i="1" l="1"/>
  <c r="J36" i="1" l="1"/>
  <c r="E36" i="1"/>
  <c r="P36" i="1" l="1"/>
  <c r="H66" i="1"/>
  <c r="F40" i="1" l="1"/>
  <c r="E40" i="1" s="1"/>
  <c r="J61" i="1"/>
  <c r="J60" i="1"/>
  <c r="E61" i="1"/>
  <c r="E60" i="1"/>
  <c r="J58" i="1"/>
  <c r="E58" i="1"/>
  <c r="J51" i="1"/>
  <c r="E51" i="1"/>
  <c r="J40" i="1"/>
  <c r="P58" i="1" l="1"/>
  <c r="P61" i="1"/>
  <c r="P51" i="1"/>
  <c r="P60" i="1"/>
  <c r="P40" i="1"/>
  <c r="F47" i="1"/>
  <c r="J32" i="1" l="1"/>
  <c r="E32" i="1"/>
  <c r="P32" i="1" l="1"/>
  <c r="J48" i="1"/>
  <c r="E48" i="1"/>
  <c r="H43" i="1"/>
  <c r="H42" i="1" s="1"/>
  <c r="F43" i="1"/>
  <c r="F42" i="1" s="1"/>
  <c r="O17" i="1"/>
  <c r="J17" i="1" s="1"/>
  <c r="K17" i="1"/>
  <c r="O66" i="1"/>
  <c r="O43" i="1" s="1"/>
  <c r="O42" i="1" s="1"/>
  <c r="K66" i="1"/>
  <c r="E63" i="1"/>
  <c r="E50" i="1"/>
  <c r="H69" i="1"/>
  <c r="H52" i="1"/>
  <c r="J59" i="1"/>
  <c r="E59" i="1"/>
  <c r="J70" i="1"/>
  <c r="P70" i="1" s="1"/>
  <c r="J69" i="1"/>
  <c r="J66" i="1"/>
  <c r="J65" i="1"/>
  <c r="J64" i="1"/>
  <c r="J63" i="1"/>
  <c r="J55" i="1"/>
  <c r="J54" i="1"/>
  <c r="J53" i="1"/>
  <c r="J52" i="1"/>
  <c r="J50" i="1"/>
  <c r="J49" i="1"/>
  <c r="J47" i="1"/>
  <c r="J45" i="1"/>
  <c r="J44" i="1"/>
  <c r="J41" i="1"/>
  <c r="J38" i="1"/>
  <c r="J37" i="1"/>
  <c r="J35" i="1"/>
  <c r="J34" i="1"/>
  <c r="J33" i="1"/>
  <c r="J31" i="1"/>
  <c r="J30" i="1"/>
  <c r="J29" i="1"/>
  <c r="J28" i="1"/>
  <c r="J27" i="1"/>
  <c r="J26" i="1"/>
  <c r="J25" i="1"/>
  <c r="J24" i="1"/>
  <c r="J23" i="1"/>
  <c r="J22" i="1"/>
  <c r="J21" i="1"/>
  <c r="J20" i="1"/>
  <c r="J19" i="1"/>
  <c r="J18" i="1"/>
  <c r="E69" i="1"/>
  <c r="E68" i="1" s="1"/>
  <c r="E67" i="1" s="1"/>
  <c r="E66" i="1"/>
  <c r="E65" i="1"/>
  <c r="E64" i="1"/>
  <c r="E55" i="1"/>
  <c r="E54" i="1"/>
  <c r="E53" i="1"/>
  <c r="E52" i="1"/>
  <c r="E49" i="1"/>
  <c r="E47" i="1"/>
  <c r="E46" i="1"/>
  <c r="E45" i="1"/>
  <c r="E44" i="1"/>
  <c r="E41" i="1"/>
  <c r="E38" i="1"/>
  <c r="E37" i="1"/>
  <c r="E35" i="1"/>
  <c r="E34" i="1"/>
  <c r="E33" i="1"/>
  <c r="E31" i="1"/>
  <c r="E30" i="1"/>
  <c r="E29" i="1"/>
  <c r="E28" i="1"/>
  <c r="E27" i="1"/>
  <c r="E26" i="1"/>
  <c r="E25" i="1"/>
  <c r="E24" i="1"/>
  <c r="E23" i="1"/>
  <c r="E22" i="1"/>
  <c r="E21" i="1"/>
  <c r="E20" i="1"/>
  <c r="E19" i="1"/>
  <c r="E18" i="1"/>
  <c r="E17" i="1"/>
  <c r="O67" i="1"/>
  <c r="N67" i="1"/>
  <c r="M67" i="1"/>
  <c r="L67" i="1"/>
  <c r="K67" i="1"/>
  <c r="I67" i="1"/>
  <c r="H67" i="1"/>
  <c r="G67" i="1"/>
  <c r="F67" i="1"/>
  <c r="N43" i="1"/>
  <c r="N42" i="1" s="1"/>
  <c r="M43" i="1"/>
  <c r="M42" i="1" s="1"/>
  <c r="L43" i="1"/>
  <c r="L42" i="1" s="1"/>
  <c r="K43" i="1"/>
  <c r="K42" i="1" s="1"/>
  <c r="I43" i="1"/>
  <c r="I42" i="1" s="1"/>
  <c r="G43" i="1"/>
  <c r="G42" i="1" s="1"/>
  <c r="O14" i="1"/>
  <c r="N14" i="1"/>
  <c r="M14" i="1"/>
  <c r="L14" i="1"/>
  <c r="K14" i="1"/>
  <c r="I14" i="1"/>
  <c r="H14" i="1"/>
  <c r="G14" i="1"/>
  <c r="F14" i="1"/>
  <c r="J15" i="1" l="1"/>
  <c r="J14" i="1" s="1"/>
  <c r="E15" i="1"/>
  <c r="E14" i="1" s="1"/>
  <c r="J68" i="1"/>
  <c r="J67" i="1" s="1"/>
  <c r="P67" i="1" s="1"/>
  <c r="P50" i="1"/>
  <c r="P19" i="1"/>
  <c r="P25" i="1"/>
  <c r="P31" i="1"/>
  <c r="P41" i="1"/>
  <c r="P29" i="1"/>
  <c r="P37" i="1"/>
  <c r="P47" i="1"/>
  <c r="P64" i="1"/>
  <c r="P34" i="1"/>
  <c r="P21" i="1"/>
  <c r="P27" i="1"/>
  <c r="P45" i="1"/>
  <c r="P55" i="1"/>
  <c r="P17" i="1"/>
  <c r="P53" i="1"/>
  <c r="P23" i="1"/>
  <c r="P59" i="1"/>
  <c r="P48" i="1"/>
  <c r="L73" i="1"/>
  <c r="L82" i="1" s="1"/>
  <c r="L85" i="1" s="1"/>
  <c r="G73" i="1"/>
  <c r="G82" i="1" s="1"/>
  <c r="G85" i="1" s="1"/>
  <c r="M73" i="1"/>
  <c r="M82" i="1" s="1"/>
  <c r="M85" i="1" s="1"/>
  <c r="N73" i="1"/>
  <c r="N82" i="1" s="1"/>
  <c r="N85" i="1" s="1"/>
  <c r="P44" i="1"/>
  <c r="P49" i="1"/>
  <c r="P63" i="1"/>
  <c r="P65" i="1"/>
  <c r="O73" i="1"/>
  <c r="O82" i="1" s="1"/>
  <c r="O85" i="1" s="1"/>
  <c r="K73" i="1"/>
  <c r="K82" i="1" s="1"/>
  <c r="K85" i="1" s="1"/>
  <c r="P66" i="1"/>
  <c r="I73" i="1"/>
  <c r="I82" i="1" s="1"/>
  <c r="I85" i="1" s="1"/>
  <c r="H73" i="1"/>
  <c r="H82" i="1" s="1"/>
  <c r="H85" i="1" s="1"/>
  <c r="F73" i="1"/>
  <c r="F82" i="1" s="1"/>
  <c r="F85" i="1" s="1"/>
  <c r="P54" i="1"/>
  <c r="P52" i="1"/>
  <c r="J43" i="1"/>
  <c r="J42" i="1" s="1"/>
  <c r="E43" i="1"/>
  <c r="E42" i="1" s="1"/>
  <c r="P46" i="1"/>
  <c r="P69" i="1"/>
  <c r="P18" i="1"/>
  <c r="P20" i="1"/>
  <c r="P22" i="1"/>
  <c r="P24" i="1"/>
  <c r="P26" i="1"/>
  <c r="P28" i="1"/>
  <c r="P30" i="1"/>
  <c r="P33" i="1"/>
  <c r="P35" i="1"/>
  <c r="P38" i="1"/>
  <c r="E73" i="1" l="1"/>
  <c r="P68" i="1"/>
  <c r="J73" i="1"/>
  <c r="J82" i="1" s="1"/>
  <c r="J85" i="1" s="1"/>
  <c r="P15" i="1"/>
  <c r="P42" i="1"/>
  <c r="P43" i="1"/>
  <c r="P14" i="1"/>
  <c r="P73" i="1" l="1"/>
  <c r="P82" i="1" s="1"/>
  <c r="P85" i="1" s="1"/>
  <c r="E82" i="1"/>
  <c r="E85" i="1" s="1"/>
</calcChain>
</file>

<file path=xl/sharedStrings.xml><?xml version="1.0" encoding="utf-8"?>
<sst xmlns="http://schemas.openxmlformats.org/spreadsheetml/2006/main" count="251" uniqueCount="206">
  <si>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</si>
  <si>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</si>
  <si>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</si>
  <si>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</si>
  <si>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</si>
  <si>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</si>
  <si>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</si>
  <si>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</si>
  <si>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</si>
  <si>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</si>
  <si>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</si>
  <si>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</si>
  <si>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</si>
  <si>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</si>
  <si>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</si>
  <si>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</si>
  <si>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</si>
  <si>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</si>
  <si>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</si>
  <si>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</si>
  <si>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</si>
  <si>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</si>
  <si>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</si>
  <si>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</si>
  <si>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</si>
  <si>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</si>
  <si>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</si>
  <si>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</si>
  <si>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</si>
  <si>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</si>
  <si>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</si>
  <si>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</si>
  <si>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</si>
  <si>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</si>
  <si>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</si>
  <si>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</si>
  <si>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</si>
  <si>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</si>
  <si>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</si>
  <si>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</si>
  <si>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</si>
  <si>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</si>
  <si>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</si>
  <si>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</si>
  <si>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</si>
  <si>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</si>
  <si>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</si>
  <si>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</si>
  <si>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</si>
  <si>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</si>
  <si>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</si>
  <si>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</si>
  <si>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</si>
  <si>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</si>
  <si>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</si>
  <si>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</si>
  <si>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</si>
  <si>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</si>
  <si>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</si>
  <si>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</si>
  <si>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</si>
  <si>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</si>
  <si>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</si>
  <si>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</si>
  <si>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</si>
  <si>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</si>
  <si>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</si>
  <si>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</si>
  <si>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</si>
  <si>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</si>
  <si>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</si>
  <si>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</si>
  <si>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</si>
  <si>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</si>
  <si>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</si>
  <si>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</si>
  <si>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</si>
  <si>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</si>
  <si>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</si>
  <si>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</si>
  <si>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</si>
  <si>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</si>
  <si>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</si>
  <si>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</si>
  <si>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</si>
  <si>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</si>
  <si>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</si>
  <si>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</si>
  <si>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</si>
  <si>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</si>
  <si>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</si>
  <si>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</si>
  <si>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</si>
  <si>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</si>
  <si>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</si>
  <si>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</si>
  <si>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</si>
  <si>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</si>
  <si>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</si>
  <si>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</si>
  <si>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</si>
  <si>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</si>
  <si>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</si>
  <si>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</si>
  <si>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</si>
  <si>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</si>
  <si>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</si>
  <si>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</si>
  <si>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</si>
  <si>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</si>
  <si>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</si>
  <si>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</si>
  <si>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</si>
  <si>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</si>
  <si>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</si>
  <si>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</si>
  <si>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</si>
  <si>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</si>
  <si>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</si>
  <si>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</si>
  <si>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</si>
  <si>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</si>
  <si>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</si>
  <si>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</si>
  <si>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</si>
  <si>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</si>
  <si>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</si>
  <si>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</si>
  <si>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</si>
  <si>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</si>
  <si>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</si>
  <si>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</si>
  <si>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</si>
  <si>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</si>
  <si>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</si>
  <si>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</si>
  <si>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</si>
  <si>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</si>
  <si>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</si>
  <si>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</si>
  <si>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</si>
  <si>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</si>
  <si>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</si>
  <si>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</si>
  <si>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</si>
  <si>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</si>
  <si>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</si>
  <si>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</si>
  <si>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</si>
  <si>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</si>
  <si>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</si>
  <si>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</si>
  <si>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</si>
  <si>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</si>
  <si>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</si>
  <si>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</si>
  <si>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</si>
  <si>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</si>
  <si>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</si>
  <si>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</si>
  <si>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</si>
  <si>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</si>
  <si>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</si>
  <si>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</si>
  <si>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</si>
  <si>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</si>
  <si>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</si>
  <si>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</si>
  <si>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</si>
  <si>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Розпис</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</si>
  <si>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</si>
  <si>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0611061</t>
  </si>
  <si>
    <t>дод 3,1</t>
  </si>
  <si>
    <t>0443</t>
  </si>
  <si>
    <t>Будівництво 1 інших об'єктів комунальної власності</t>
  </si>
  <si>
    <t>O117330</t>
  </si>
  <si>
    <t>0118230</t>
  </si>
  <si>
    <t>0380</t>
  </si>
  <si>
    <t>Інші заходи громадського порядку та безпеки</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</si>
  <si>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</si>
  <si>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</si>
  <si>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`0611292</t>
  </si>
  <si>
    <t xml:space="preserve">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</si>
  <si>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O611291</t>
  </si>
  <si>
    <t>O990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</si>
  <si>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</si>
  <si>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Євген МОЛНАР</t>
  </si>
  <si>
    <t>Проведення експертної грошової оцінки земельної ділянки чи права на неї</t>
  </si>
  <si>
    <t>0117650</t>
  </si>
  <si>
    <t>Субвенція з місцевого бюджету державному бюджету на виконання програм соціально-економічного розвитку регіонів</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</si>
  <si>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</si>
  <si>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</si>
  <si>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О611181</t>
  </si>
  <si>
    <t>О990</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</si>
  <si>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</si>
  <si>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O111010</t>
  </si>
  <si>
    <t>O910</t>
  </si>
  <si>
    <t>`0180</t>
  </si>
  <si>
    <t>Інші субвенції з місцевого бюджету</t>
  </si>
  <si>
    <t>0118220</t>
  </si>
  <si>
    <t>Заходи та роботи з мобілізаційної підготовки місцевого значення</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</si>
  <si>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</si>
  <si>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</si>
  <si>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від .12.2024 №</t>
  </si>
  <si>
    <t>Додаток 2</t>
  </si>
  <si>
    <t xml:space="preserve"> -ї сесії 8-го скликання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</si>
</sst>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12"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sz val="12"/>
      <name val="Times New Roman"/>
      <family val="1"/>
      <charset val="204"/>
    </font>
    <font>
      <sz val="10"/>
      <color theme="1"/>
      <name val="Calibri"/>
      <family val="2"/>
      <charset val="204"/>
      <scheme val="minor"/>
    </font>
    <font>
      <sz val="10"/>
      <name val="Calibri"/>
      <family val="2"/>
      <charset val="204"/>
      <scheme val="minor"/>
    </font>
    <font>
      <sz val="10"/>
      <name val="Helv"/>
      <charset val="204"/>
    </font>
    <font>
      <sz val="10"/>
      <color rgb="FF333333"/>
      <name val="Calibri"/>
      <family val="2"/>
      <charset val="204"/>
      <scheme val="minor"/>
    </font>
    <font>
      <b/>
      <sz val="10"/>
      <name val="Arial Cyr"/>
      <charset val="204"/>
    </font>
  </fonts>
  <fills count="3">
    <fill>
      <patternFill patternType="none"/>
    </fill>
    <fill>
      <patternFill patternType="gray125"/>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5" fillId="0" borderId="0"/>
    <xf numFmtId="0" fontId="5" fillId="0" borderId="0"/>
    <xf numFmtId="0" fontId="9" fillId="0" borderId="0"/>
  </cellStyleXfs>
  <cellXfs count="54">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5" fillId="0" borderId="0" xfId="1" applyAlignment="1">
      <alignment horizontal="right"/>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4"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3" fontId="0" fillId="0" borderId="0" xfId="0" applyNumberFormat="1"/>
    <xf numFmtId="3" fontId="0" fillId="0" borderId="2" xfId="0" applyNumberFormat="1" applyFill="1" applyBorder="1" applyAlignment="1">
      <alignmen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vertical="center" wrapText="1"/>
    </xf>
    <xf numFmtId="164" fontId="0" fillId="0" borderId="1" xfId="0" applyNumberFormat="1" applyBorder="1" applyAlignment="1">
      <alignment horizontal="right" vertical="center"/>
    </xf>
    <xf numFmtId="164" fontId="7" fillId="0" borderId="1" xfId="0" applyNumberFormat="1" applyFont="1" applyBorder="1" applyAlignment="1">
      <alignment vertical="center"/>
    </xf>
    <xf numFmtId="49" fontId="8"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0" xfId="0" applyFont="1" applyAlignment="1">
      <alignment horizontal="left" vertical="center" wrapText="1"/>
    </xf>
    <xf numFmtId="49" fontId="8" fillId="0" borderId="3" xfId="3" quotePrefix="1" applyNumberFormat="1" applyFont="1" applyBorder="1" applyAlignment="1">
      <alignment horizontal="center" vertical="center" wrapText="1"/>
    </xf>
    <xf numFmtId="0" fontId="10" fillId="0" borderId="0" xfId="0" applyFont="1" applyAlignment="1">
      <alignment vertical="center" wrapText="1"/>
    </xf>
    <xf numFmtId="0" fontId="8" fillId="0" borderId="1" xfId="3" applyFont="1" applyBorder="1" applyAlignment="1">
      <alignment horizontal="left" wrapText="1"/>
    </xf>
    <xf numFmtId="0" fontId="0" fillId="0" borderId="1" xfId="0" applyBorder="1" applyAlignment="1">
      <alignment horizontal="center" vertical="center" wrapText="1"/>
    </xf>
    <xf numFmtId="3" fontId="0" fillId="0" borderId="0" xfId="0" applyNumberFormat="1" applyFill="1" applyBorder="1" applyAlignment="1">
      <alignment vertical="center"/>
    </xf>
    <xf numFmtId="0" fontId="0" fillId="0" borderId="1" xfId="0" applyBorder="1" applyAlignment="1">
      <alignment horizontal="center" vertical="center" wrapText="1"/>
    </xf>
    <xf numFmtId="0" fontId="1" fillId="0" borderId="0" xfId="0" applyFont="1"/>
    <xf numFmtId="0" fontId="11" fillId="0" borderId="0" xfId="2" applyFont="1"/>
    <xf numFmtId="164" fontId="0" fillId="0" borderId="4" xfId="0" applyNumberFormat="1" applyFill="1" applyBorder="1" applyAlignment="1">
      <alignment vertical="center"/>
    </xf>
    <xf numFmtId="0" fontId="0" fillId="0" borderId="3" xfId="0" applyBorder="1" applyAlignment="1">
      <alignment horizontal="center" vertical="center" wrapText="1"/>
    </xf>
    <xf numFmtId="0" fontId="1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quotePrefix="1" applyFont="1" applyBorder="1" applyAlignment="1">
      <alignment vertical="center" wrapText="1"/>
    </xf>
    <xf numFmtId="164" fontId="0" fillId="0" borderId="1" xfId="0" applyNumberFormat="1" applyFont="1" applyBorder="1" applyAlignment="1">
      <alignment vertical="center"/>
    </xf>
    <xf numFmtId="0" fontId="0" fillId="0" borderId="1" xfId="0" applyBorder="1" applyAlignment="1">
      <alignment horizontal="center" vertical="center" wrapText="1"/>
    </xf>
    <xf numFmtId="164" fontId="8" fillId="0" borderId="1" xfId="0" applyNumberFormat="1" applyFont="1" applyBorder="1" applyAlignment="1">
      <alignment vertic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cellXfs>
  <cellStyles count="4">
    <cellStyle name="Звичайний" xfId="0" builtinId="0"/>
    <cellStyle name="Обычный 2" xfId="1"/>
    <cellStyle name="Обычный 3" xfId="2"/>
    <cellStyle name="Обычный_Додатки 3,5,6 на 2021 рік для ОТГ"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88"/>
  <sheetViews>
    <sheetView tabSelected="1" topLeftCell="A2" workbookViewId="0">
      <pane xSplit="4" ySplit="12" topLeftCell="K14" activePane="bottomRight" state="frozen"/>
      <selection activeCell="A2" sqref="A2"/>
      <selection pane="topRight" activeCell="E2" sqref="E2"/>
      <selection pane="bottomLeft" activeCell="A14" sqref="A14"/>
      <selection pane="bottomRight" activeCell="P4" sqref="P4"/>
    </sheetView>
  </sheetViews>
  <sheetFormatPr defaultRowHeight="12.75" x14ac:dyDescent="0.2"/>
  <cols>
    <col min="1" max="3" width="12" customWidth="1"/>
    <col min="4" max="4" width="40.7109375" customWidth="1"/>
    <col min="5" max="14" width="15.7109375" customWidth="1"/>
    <col min="15" max="15" width="15.5703125" customWidth="1"/>
    <col min="16" max="16" width="15.7109375" customWidth="1"/>
  </cols>
  <sheetData>
    <row r="1" spans="1:18" x14ac:dyDescent="0.2">
      <c r="P1" s="14" t="s">
        <v>204</v>
      </c>
    </row>
    <row r="2" spans="1:18" x14ac:dyDescent="0.2">
      <c r="P2" s="14" t="s">
        <v>158</v>
      </c>
    </row>
    <row r="3" spans="1:18" x14ac:dyDescent="0.2">
      <c r="P3" s="14" t="s">
        <v>205</v>
      </c>
    </row>
    <row r="4" spans="1:18" x14ac:dyDescent="0.2">
      <c r="P4" s="14" t="s">
        <v>203</v>
      </c>
    </row>
    <row r="5" spans="1:18" x14ac:dyDescent="0.2">
      <c r="A5" s="48" t="s">
        <v>0</v>
      </c>
      <c r="B5" s="49"/>
      <c r="C5" s="49"/>
      <c r="D5" s="49"/>
      <c r="E5" s="49"/>
      <c r="F5" s="49"/>
      <c r="G5" s="49"/>
      <c r="H5" s="49"/>
      <c r="I5" s="49"/>
      <c r="J5" s="49"/>
      <c r="K5" s="49"/>
      <c r="L5" s="49"/>
      <c r="M5" s="49"/>
      <c r="N5" s="49"/>
      <c r="O5" s="49"/>
      <c r="P5" s="49"/>
    </row>
    <row r="6" spans="1:18" x14ac:dyDescent="0.2">
      <c r="A6" s="48" t="s">
        <v>159</v>
      </c>
      <c r="B6" s="49"/>
      <c r="C6" s="49"/>
      <c r="D6" s="49"/>
      <c r="E6" s="49"/>
      <c r="F6" s="49"/>
      <c r="G6" s="49"/>
      <c r="H6" s="49"/>
      <c r="I6" s="49"/>
      <c r="J6" s="49"/>
      <c r="K6" s="49"/>
      <c r="L6" s="49"/>
      <c r="M6" s="49"/>
      <c r="N6" s="49"/>
      <c r="O6" s="49"/>
      <c r="P6" s="49"/>
    </row>
    <row r="7" spans="1:18" x14ac:dyDescent="0.2">
      <c r="A7" s="1" t="s">
        <v>1</v>
      </c>
    </row>
    <row r="8" spans="1:18" x14ac:dyDescent="0.2">
      <c r="A8" t="s">
        <v>2</v>
      </c>
      <c r="P8" s="2" t="s">
        <v>3</v>
      </c>
    </row>
    <row r="9" spans="1:18" x14ac:dyDescent="0.2">
      <c r="A9" s="50" t="s">
        <v>4</v>
      </c>
      <c r="B9" s="50" t="s">
        <v>5</v>
      </c>
      <c r="C9" s="50" t="s">
        <v>6</v>
      </c>
      <c r="D9" s="51" t="s">
        <v>7</v>
      </c>
      <c r="E9" s="51" t="s">
        <v>8</v>
      </c>
      <c r="F9" s="51"/>
      <c r="G9" s="51"/>
      <c r="H9" s="51"/>
      <c r="I9" s="51"/>
      <c r="J9" s="51" t="s">
        <v>15</v>
      </c>
      <c r="K9" s="51"/>
      <c r="L9" s="51"/>
      <c r="M9" s="51"/>
      <c r="N9" s="51"/>
      <c r="O9" s="51"/>
      <c r="P9" s="52" t="s">
        <v>17</v>
      </c>
    </row>
    <row r="10" spans="1:18" x14ac:dyDescent="0.2">
      <c r="A10" s="51"/>
      <c r="B10" s="51"/>
      <c r="C10" s="51"/>
      <c r="D10" s="51"/>
      <c r="E10" s="52" t="s">
        <v>9</v>
      </c>
      <c r="F10" s="51" t="s">
        <v>10</v>
      </c>
      <c r="G10" s="51" t="s">
        <v>11</v>
      </c>
      <c r="H10" s="51"/>
      <c r="I10" s="51" t="s">
        <v>14</v>
      </c>
      <c r="J10" s="52" t="s">
        <v>9</v>
      </c>
      <c r="K10" s="51" t="s">
        <v>16</v>
      </c>
      <c r="L10" s="51" t="s">
        <v>10</v>
      </c>
      <c r="M10" s="51" t="s">
        <v>11</v>
      </c>
      <c r="N10" s="51"/>
      <c r="O10" s="51" t="s">
        <v>14</v>
      </c>
      <c r="P10" s="51"/>
    </row>
    <row r="11" spans="1:18" x14ac:dyDescent="0.2">
      <c r="A11" s="51"/>
      <c r="B11" s="51"/>
      <c r="C11" s="51"/>
      <c r="D11" s="51"/>
      <c r="E11" s="51"/>
      <c r="F11" s="51"/>
      <c r="G11" s="51" t="s">
        <v>12</v>
      </c>
      <c r="H11" s="51" t="s">
        <v>13</v>
      </c>
      <c r="I11" s="51"/>
      <c r="J11" s="51"/>
      <c r="K11" s="51"/>
      <c r="L11" s="51"/>
      <c r="M11" s="51" t="s">
        <v>12</v>
      </c>
      <c r="N11" s="51" t="s">
        <v>13</v>
      </c>
      <c r="O11" s="51"/>
      <c r="P11" s="51"/>
    </row>
    <row r="12" spans="1:18" ht="44.25" customHeight="1" x14ac:dyDescent="0.2">
      <c r="A12" s="51"/>
      <c r="B12" s="51"/>
      <c r="C12" s="51"/>
      <c r="D12" s="51"/>
      <c r="E12" s="51"/>
      <c r="F12" s="51"/>
      <c r="G12" s="51"/>
      <c r="H12" s="51"/>
      <c r="I12" s="51"/>
      <c r="J12" s="51"/>
      <c r="K12" s="51"/>
      <c r="L12" s="51"/>
      <c r="M12" s="51"/>
      <c r="N12" s="51"/>
      <c r="O12" s="51"/>
      <c r="P12" s="51"/>
    </row>
    <row r="13" spans="1:18"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x14ac:dyDescent="0.2">
      <c r="A14" s="5" t="s">
        <v>18</v>
      </c>
      <c r="B14" s="5" t="s">
        <v>19</v>
      </c>
      <c r="C14" s="5" t="s">
        <v>19</v>
      </c>
      <c r="D14" s="13" t="s">
        <v>160</v>
      </c>
      <c r="E14" s="6">
        <f>E15</f>
        <v>60213081.32</v>
      </c>
      <c r="F14" s="7">
        <f t="shared" ref="F14:O14" si="0">F15</f>
        <v>46475110.380000003</v>
      </c>
      <c r="G14" s="7">
        <f t="shared" si="0"/>
        <v>19603939</v>
      </c>
      <c r="H14" s="7">
        <f t="shared" si="0"/>
        <v>2308334</v>
      </c>
      <c r="I14" s="7">
        <f t="shared" si="0"/>
        <v>13737970.940000001</v>
      </c>
      <c r="J14" s="6">
        <f t="shared" si="0"/>
        <v>858173.67999999993</v>
      </c>
      <c r="K14" s="7">
        <f t="shared" si="0"/>
        <v>403573.68</v>
      </c>
      <c r="L14" s="7">
        <f t="shared" si="0"/>
        <v>454600</v>
      </c>
      <c r="M14" s="7">
        <f t="shared" si="0"/>
        <v>0</v>
      </c>
      <c r="N14" s="7">
        <f t="shared" si="0"/>
        <v>0</v>
      </c>
      <c r="O14" s="7">
        <f t="shared" si="0"/>
        <v>403573.68</v>
      </c>
      <c r="P14" s="6">
        <f>E14+J14</f>
        <v>61071255</v>
      </c>
      <c r="R14" s="22">
        <v>1</v>
      </c>
    </row>
    <row r="15" spans="1:18" ht="25.5" x14ac:dyDescent="0.2">
      <c r="A15" s="5" t="s">
        <v>20</v>
      </c>
      <c r="B15" s="5" t="s">
        <v>19</v>
      </c>
      <c r="C15" s="5" t="s">
        <v>19</v>
      </c>
      <c r="D15" s="13" t="s">
        <v>161</v>
      </c>
      <c r="E15" s="6">
        <f t="shared" ref="E15:O15" si="1">SUM(E16:E41)</f>
        <v>60213081.32</v>
      </c>
      <c r="F15" s="7">
        <f t="shared" si="1"/>
        <v>46475110.380000003</v>
      </c>
      <c r="G15" s="7">
        <f t="shared" si="1"/>
        <v>19603939</v>
      </c>
      <c r="H15" s="7">
        <f t="shared" si="1"/>
        <v>2308334</v>
      </c>
      <c r="I15" s="7">
        <f t="shared" si="1"/>
        <v>13737970.940000001</v>
      </c>
      <c r="J15" s="6">
        <f t="shared" si="1"/>
        <v>858173.67999999993</v>
      </c>
      <c r="K15" s="7">
        <f t="shared" si="1"/>
        <v>403573.68</v>
      </c>
      <c r="L15" s="7">
        <f t="shared" si="1"/>
        <v>454600</v>
      </c>
      <c r="M15" s="7">
        <f t="shared" si="1"/>
        <v>0</v>
      </c>
      <c r="N15" s="7">
        <f t="shared" si="1"/>
        <v>0</v>
      </c>
      <c r="O15" s="7">
        <f t="shared" si="1"/>
        <v>403573.68</v>
      </c>
      <c r="P15" s="6">
        <f t="shared" ref="P15:P73" si="2">E15+J15</f>
        <v>61071255</v>
      </c>
      <c r="R15" s="22">
        <v>1</v>
      </c>
    </row>
    <row r="16" spans="1:18" hidden="1" x14ac:dyDescent="0.2">
      <c r="A16" s="43" t="s">
        <v>195</v>
      </c>
      <c r="B16" s="43">
        <v>1010</v>
      </c>
      <c r="C16" s="43" t="s">
        <v>196</v>
      </c>
      <c r="D16" s="44" t="s">
        <v>107</v>
      </c>
      <c r="E16" s="9">
        <f>F16+I16</f>
        <v>0</v>
      </c>
      <c r="F16" s="7">
        <v>0</v>
      </c>
      <c r="G16" s="7">
        <v>0</v>
      </c>
      <c r="H16" s="7">
        <v>0</v>
      </c>
      <c r="I16" s="7">
        <v>0</v>
      </c>
      <c r="J16" s="9">
        <f>L16+O16</f>
        <v>0</v>
      </c>
      <c r="K16" s="45">
        <f>70000-70000</f>
        <v>0</v>
      </c>
      <c r="L16" s="7">
        <v>0</v>
      </c>
      <c r="M16" s="7">
        <v>0</v>
      </c>
      <c r="N16" s="7">
        <v>0</v>
      </c>
      <c r="O16" s="45">
        <f>70000-70000</f>
        <v>0</v>
      </c>
      <c r="P16" s="9">
        <f t="shared" si="2"/>
        <v>0</v>
      </c>
      <c r="R16" s="22"/>
    </row>
    <row r="17" spans="1:18" ht="63.75" x14ac:dyDescent="0.2">
      <c r="A17" s="3" t="s">
        <v>21</v>
      </c>
      <c r="B17" s="3" t="s">
        <v>22</v>
      </c>
      <c r="C17" s="3" t="s">
        <v>23</v>
      </c>
      <c r="D17" s="8" t="s">
        <v>24</v>
      </c>
      <c r="E17" s="9">
        <f>F17+I17</f>
        <v>22458982.140000001</v>
      </c>
      <c r="F17" s="10">
        <f>16298218+45300+100000+20000+460100+260000+1476634.14+(10000+2792500)+996230</f>
        <v>22458982.140000001</v>
      </c>
      <c r="G17" s="10">
        <f>11700000+1222762+(2170000)+634200</f>
        <v>15726962</v>
      </c>
      <c r="H17" s="10">
        <f>1062402+20000</f>
        <v>1082402</v>
      </c>
      <c r="I17" s="10">
        <v>0</v>
      </c>
      <c r="J17" s="9">
        <f>L17+O17</f>
        <v>0</v>
      </c>
      <c r="K17" s="10">
        <f>45300-45300</f>
        <v>0</v>
      </c>
      <c r="L17" s="10">
        <v>0</v>
      </c>
      <c r="M17" s="10">
        <v>0</v>
      </c>
      <c r="N17" s="10">
        <v>0</v>
      </c>
      <c r="O17" s="10">
        <f>45300-45300</f>
        <v>0</v>
      </c>
      <c r="P17" s="9">
        <f t="shared" si="2"/>
        <v>22458982.140000001</v>
      </c>
      <c r="R17" s="23">
        <v>1</v>
      </c>
    </row>
    <row r="18" spans="1:18" x14ac:dyDescent="0.2">
      <c r="A18" s="3" t="s">
        <v>25</v>
      </c>
      <c r="B18" s="3" t="s">
        <v>26</v>
      </c>
      <c r="C18" s="3" t="s">
        <v>27</v>
      </c>
      <c r="D18" s="8" t="s">
        <v>28</v>
      </c>
      <c r="E18" s="9">
        <f t="shared" ref="E18:E41" si="3">F18+I18</f>
        <v>1389604.79</v>
      </c>
      <c r="F18" s="10">
        <f>1212935+197000+27500+29600-260000+67535-77865.21+(157400)+35500</f>
        <v>1389604.79</v>
      </c>
      <c r="G18" s="10">
        <f>464023+22600+55295+(47100)+29100+8057</f>
        <v>626175</v>
      </c>
      <c r="H18" s="10">
        <f>24727-6290</f>
        <v>18437</v>
      </c>
      <c r="I18" s="10">
        <v>0</v>
      </c>
      <c r="J18" s="9">
        <f t="shared" ref="J18:J41" si="4">L18+O18</f>
        <v>0</v>
      </c>
      <c r="K18" s="10">
        <v>0</v>
      </c>
      <c r="L18" s="10">
        <v>0</v>
      </c>
      <c r="M18" s="10">
        <v>0</v>
      </c>
      <c r="N18" s="10">
        <v>0</v>
      </c>
      <c r="O18" s="10">
        <v>0</v>
      </c>
      <c r="P18" s="9">
        <f t="shared" si="2"/>
        <v>1389604.79</v>
      </c>
      <c r="R18" s="23">
        <v>1</v>
      </c>
    </row>
    <row r="19" spans="1:18" ht="25.5" x14ac:dyDescent="0.2">
      <c r="A19" s="3" t="s">
        <v>29</v>
      </c>
      <c r="B19" s="3" t="s">
        <v>30</v>
      </c>
      <c r="C19" s="3" t="s">
        <v>31</v>
      </c>
      <c r="D19" s="8" t="s">
        <v>32</v>
      </c>
      <c r="E19" s="9">
        <f t="shared" si="3"/>
        <v>11666867</v>
      </c>
      <c r="F19" s="10">
        <f>8788309+55000+480558+(1500000)+843000</f>
        <v>11666867</v>
      </c>
      <c r="G19" s="10">
        <v>0</v>
      </c>
      <c r="H19" s="10">
        <v>0</v>
      </c>
      <c r="I19" s="10">
        <v>0</v>
      </c>
      <c r="J19" s="9">
        <f t="shared" si="4"/>
        <v>192546.68</v>
      </c>
      <c r="K19" s="10">
        <f>400000-100000-70000-37453.32</f>
        <v>192546.68</v>
      </c>
      <c r="L19" s="10">
        <v>0</v>
      </c>
      <c r="M19" s="10">
        <v>0</v>
      </c>
      <c r="N19" s="10">
        <v>0</v>
      </c>
      <c r="O19" s="10">
        <f>400000-100000-70000-37453.32</f>
        <v>192546.68</v>
      </c>
      <c r="P19" s="9">
        <f t="shared" si="2"/>
        <v>11859413.68</v>
      </c>
      <c r="R19" s="23">
        <v>1</v>
      </c>
    </row>
    <row r="20" spans="1:18" ht="38.25" hidden="1" x14ac:dyDescent="0.2">
      <c r="A20" s="3" t="s">
        <v>33</v>
      </c>
      <c r="B20" s="3" t="s">
        <v>34</v>
      </c>
      <c r="C20" s="3" t="s">
        <v>35</v>
      </c>
      <c r="D20" s="8" t="s">
        <v>36</v>
      </c>
      <c r="E20" s="9">
        <f t="shared" si="3"/>
        <v>1456503</v>
      </c>
      <c r="F20" s="10">
        <f>1756503-300000</f>
        <v>1456503</v>
      </c>
      <c r="G20" s="10">
        <v>0</v>
      </c>
      <c r="H20" s="10">
        <v>0</v>
      </c>
      <c r="I20" s="10">
        <v>0</v>
      </c>
      <c r="J20" s="9">
        <f t="shared" si="4"/>
        <v>0</v>
      </c>
      <c r="K20" s="10">
        <v>0</v>
      </c>
      <c r="L20" s="10">
        <v>0</v>
      </c>
      <c r="M20" s="10">
        <v>0</v>
      </c>
      <c r="N20" s="10">
        <v>0</v>
      </c>
      <c r="O20" s="10">
        <v>0</v>
      </c>
      <c r="P20" s="9">
        <f t="shared" si="2"/>
        <v>1456503</v>
      </c>
      <c r="R20" s="22"/>
    </row>
    <row r="21" spans="1:18" ht="25.5" hidden="1" x14ac:dyDescent="0.2">
      <c r="A21" s="3" t="s">
        <v>37</v>
      </c>
      <c r="B21" s="3" t="s">
        <v>38</v>
      </c>
      <c r="C21" s="3" t="s">
        <v>39</v>
      </c>
      <c r="D21" s="8" t="s">
        <v>40</v>
      </c>
      <c r="E21" s="9">
        <f t="shared" si="3"/>
        <v>286500</v>
      </c>
      <c r="F21" s="10">
        <f>536500-250000</f>
        <v>286500</v>
      </c>
      <c r="G21" s="10">
        <v>0</v>
      </c>
      <c r="H21" s="10">
        <v>0</v>
      </c>
      <c r="I21" s="10">
        <v>0</v>
      </c>
      <c r="J21" s="9">
        <f t="shared" si="4"/>
        <v>0</v>
      </c>
      <c r="K21" s="10">
        <v>0</v>
      </c>
      <c r="L21" s="10">
        <v>0</v>
      </c>
      <c r="M21" s="10">
        <v>0</v>
      </c>
      <c r="N21" s="10">
        <v>0</v>
      </c>
      <c r="O21" s="10">
        <v>0</v>
      </c>
      <c r="P21" s="9">
        <f t="shared" si="2"/>
        <v>286500</v>
      </c>
      <c r="R21" s="22"/>
    </row>
    <row r="22" spans="1:18" ht="25.5" hidden="1" x14ac:dyDescent="0.2">
      <c r="A22" s="3" t="s">
        <v>41</v>
      </c>
      <c r="B22" s="3" t="s">
        <v>42</v>
      </c>
      <c r="C22" s="3" t="s">
        <v>43</v>
      </c>
      <c r="D22" s="8" t="s">
        <v>44</v>
      </c>
      <c r="E22" s="9">
        <f t="shared" si="3"/>
        <v>12500</v>
      </c>
      <c r="F22" s="10">
        <v>12500</v>
      </c>
      <c r="G22" s="10">
        <v>0</v>
      </c>
      <c r="H22" s="10">
        <v>0</v>
      </c>
      <c r="I22" s="10">
        <v>0</v>
      </c>
      <c r="J22" s="9">
        <f t="shared" si="4"/>
        <v>0</v>
      </c>
      <c r="K22" s="10">
        <v>0</v>
      </c>
      <c r="L22" s="10">
        <v>0</v>
      </c>
      <c r="M22" s="10">
        <v>0</v>
      </c>
      <c r="N22" s="10">
        <v>0</v>
      </c>
      <c r="O22" s="10">
        <v>0</v>
      </c>
      <c r="P22" s="9">
        <f t="shared" si="2"/>
        <v>12500</v>
      </c>
      <c r="R22" s="22"/>
    </row>
    <row r="23" spans="1:18" ht="38.25" hidden="1" x14ac:dyDescent="0.2">
      <c r="A23" s="3" t="s">
        <v>45</v>
      </c>
      <c r="B23" s="3" t="s">
        <v>46</v>
      </c>
      <c r="C23" s="3" t="s">
        <v>43</v>
      </c>
      <c r="D23" s="8" t="s">
        <v>47</v>
      </c>
      <c r="E23" s="9">
        <f t="shared" si="3"/>
        <v>64000</v>
      </c>
      <c r="F23" s="10">
        <v>64000</v>
      </c>
      <c r="G23" s="10">
        <v>0</v>
      </c>
      <c r="H23" s="10">
        <v>0</v>
      </c>
      <c r="I23" s="10">
        <v>0</v>
      </c>
      <c r="J23" s="9">
        <f t="shared" si="4"/>
        <v>0</v>
      </c>
      <c r="K23" s="10">
        <v>0</v>
      </c>
      <c r="L23" s="10">
        <v>0</v>
      </c>
      <c r="M23" s="10">
        <v>0</v>
      </c>
      <c r="N23" s="10">
        <v>0</v>
      </c>
      <c r="O23" s="10">
        <v>0</v>
      </c>
      <c r="P23" s="9">
        <f t="shared" si="2"/>
        <v>64000</v>
      </c>
      <c r="R23" s="22"/>
    </row>
    <row r="24" spans="1:18" ht="51" x14ac:dyDescent="0.2">
      <c r="A24" s="3" t="s">
        <v>48</v>
      </c>
      <c r="B24" s="3" t="s">
        <v>49</v>
      </c>
      <c r="C24" s="3" t="s">
        <v>50</v>
      </c>
      <c r="D24" s="8" t="s">
        <v>51</v>
      </c>
      <c r="E24" s="9">
        <f t="shared" si="3"/>
        <v>4521212</v>
      </c>
      <c r="F24" s="10">
        <f>3719897+130000+228385+(295030)+147900</f>
        <v>4521212</v>
      </c>
      <c r="G24" s="10">
        <f>2036996+110000+190910+(245030)+121200</f>
        <v>2704136</v>
      </c>
      <c r="H24" s="10">
        <f>130762+2604</f>
        <v>133366</v>
      </c>
      <c r="I24" s="10">
        <v>0</v>
      </c>
      <c r="J24" s="9">
        <f t="shared" si="4"/>
        <v>0</v>
      </c>
      <c r="K24" s="10">
        <v>0</v>
      </c>
      <c r="L24" s="10">
        <v>0</v>
      </c>
      <c r="M24" s="10">
        <v>0</v>
      </c>
      <c r="N24" s="10">
        <v>0</v>
      </c>
      <c r="O24" s="10">
        <v>0</v>
      </c>
      <c r="P24" s="9">
        <f t="shared" si="2"/>
        <v>4521212</v>
      </c>
      <c r="R24" s="22">
        <v>1</v>
      </c>
    </row>
    <row r="25" spans="1:18" ht="25.5" x14ac:dyDescent="0.2">
      <c r="A25" s="3" t="s">
        <v>52</v>
      </c>
      <c r="B25" s="3" t="s">
        <v>53</v>
      </c>
      <c r="C25" s="3" t="s">
        <v>54</v>
      </c>
      <c r="D25" s="8" t="s">
        <v>55</v>
      </c>
      <c r="E25" s="9">
        <f t="shared" si="3"/>
        <v>802029</v>
      </c>
      <c r="F25" s="10">
        <f>563480+32400+69190+(25793+50000)+27766+33400</f>
        <v>802029</v>
      </c>
      <c r="G25" s="10">
        <f>392976+25700+58590+(42000)+27400</f>
        <v>546666</v>
      </c>
      <c r="H25" s="10">
        <f>60249+5200+(25793)+27766</f>
        <v>119008</v>
      </c>
      <c r="I25" s="10">
        <v>0</v>
      </c>
      <c r="J25" s="9">
        <f t="shared" si="4"/>
        <v>0</v>
      </c>
      <c r="K25" s="10">
        <v>0</v>
      </c>
      <c r="L25" s="10">
        <v>0</v>
      </c>
      <c r="M25" s="10">
        <v>0</v>
      </c>
      <c r="N25" s="10">
        <v>0</v>
      </c>
      <c r="O25" s="10">
        <v>0</v>
      </c>
      <c r="P25" s="9">
        <f t="shared" si="2"/>
        <v>802029</v>
      </c>
      <c r="R25" s="22">
        <v>1</v>
      </c>
    </row>
    <row r="26" spans="1:18" ht="76.5" hidden="1" x14ac:dyDescent="0.2">
      <c r="A26" s="3" t="s">
        <v>56</v>
      </c>
      <c r="B26" s="3" t="s">
        <v>57</v>
      </c>
      <c r="C26" s="3" t="s">
        <v>54</v>
      </c>
      <c r="D26" s="8" t="s">
        <v>58</v>
      </c>
      <c r="E26" s="9">
        <f t="shared" si="3"/>
        <v>500000</v>
      </c>
      <c r="F26" s="10">
        <v>500000</v>
      </c>
      <c r="G26" s="10">
        <v>0</v>
      </c>
      <c r="H26" s="10">
        <v>0</v>
      </c>
      <c r="I26" s="10">
        <v>0</v>
      </c>
      <c r="J26" s="9">
        <f t="shared" si="4"/>
        <v>0</v>
      </c>
      <c r="K26" s="10">
        <v>0</v>
      </c>
      <c r="L26" s="10">
        <v>0</v>
      </c>
      <c r="M26" s="10">
        <v>0</v>
      </c>
      <c r="N26" s="10">
        <v>0</v>
      </c>
      <c r="O26" s="10">
        <v>0</v>
      </c>
      <c r="P26" s="9">
        <f t="shared" si="2"/>
        <v>500000</v>
      </c>
      <c r="R26" s="22"/>
    </row>
    <row r="27" spans="1:18" ht="25.5" hidden="1" x14ac:dyDescent="0.2">
      <c r="A27" s="3" t="s">
        <v>59</v>
      </c>
      <c r="B27" s="3" t="s">
        <v>60</v>
      </c>
      <c r="C27" s="3" t="s">
        <v>61</v>
      </c>
      <c r="D27" s="8" t="s">
        <v>62</v>
      </c>
      <c r="E27" s="9">
        <f t="shared" si="3"/>
        <v>1100000</v>
      </c>
      <c r="F27" s="10">
        <f>1050000-150000-100000+(300000)</f>
        <v>1100000</v>
      </c>
      <c r="G27" s="10">
        <v>0</v>
      </c>
      <c r="H27" s="10">
        <v>0</v>
      </c>
      <c r="I27" s="10">
        <v>0</v>
      </c>
      <c r="J27" s="9">
        <f t="shared" si="4"/>
        <v>0</v>
      </c>
      <c r="K27" s="10">
        <v>0</v>
      </c>
      <c r="L27" s="10">
        <v>0</v>
      </c>
      <c r="M27" s="10">
        <v>0</v>
      </c>
      <c r="N27" s="10">
        <v>0</v>
      </c>
      <c r="O27" s="10">
        <v>0</v>
      </c>
      <c r="P27" s="9">
        <f t="shared" si="2"/>
        <v>1100000</v>
      </c>
      <c r="R27" s="22"/>
    </row>
    <row r="28" spans="1:18" ht="51" x14ac:dyDescent="0.2">
      <c r="A28" s="3" t="s">
        <v>63</v>
      </c>
      <c r="B28" s="3" t="s">
        <v>64</v>
      </c>
      <c r="C28" s="3" t="s">
        <v>65</v>
      </c>
      <c r="D28" s="8" t="s">
        <v>66</v>
      </c>
      <c r="E28" s="9">
        <f t="shared" si="3"/>
        <v>9515947.3200000003</v>
      </c>
      <c r="F28" s="10">
        <v>0</v>
      </c>
      <c r="G28" s="10">
        <v>0</v>
      </c>
      <c r="H28" s="10">
        <v>0</v>
      </c>
      <c r="I28" s="10">
        <f>5000000+775000+508000+250700+150000+300000+152247.32+(250000)+80000+2050000</f>
        <v>9515947.3200000003</v>
      </c>
      <c r="J28" s="9">
        <f t="shared" si="4"/>
        <v>0</v>
      </c>
      <c r="K28" s="10">
        <v>0</v>
      </c>
      <c r="L28" s="10">
        <v>0</v>
      </c>
      <c r="M28" s="10">
        <v>0</v>
      </c>
      <c r="N28" s="10">
        <v>0</v>
      </c>
      <c r="O28" s="10">
        <v>0</v>
      </c>
      <c r="P28" s="9">
        <f t="shared" si="2"/>
        <v>9515947.3200000003</v>
      </c>
      <c r="R28" s="23">
        <v>1</v>
      </c>
    </row>
    <row r="29" spans="1:18" x14ac:dyDescent="0.2">
      <c r="A29" s="3" t="s">
        <v>67</v>
      </c>
      <c r="B29" s="3" t="s">
        <v>68</v>
      </c>
      <c r="C29" s="3" t="s">
        <v>65</v>
      </c>
      <c r="D29" s="8" t="s">
        <v>69</v>
      </c>
      <c r="E29" s="9">
        <f t="shared" si="3"/>
        <v>983921</v>
      </c>
      <c r="F29" s="10">
        <f>2038206-100000-20000-300000-634285</f>
        <v>983921</v>
      </c>
      <c r="G29" s="10">
        <v>0</v>
      </c>
      <c r="H29" s="47">
        <f>1638206-100000-583085</f>
        <v>955121</v>
      </c>
      <c r="I29" s="10">
        <v>0</v>
      </c>
      <c r="J29" s="9">
        <f t="shared" si="4"/>
        <v>184027</v>
      </c>
      <c r="K29" s="10">
        <f>20000-4067+168094</f>
        <v>184027</v>
      </c>
      <c r="L29" s="10">
        <v>0</v>
      </c>
      <c r="M29" s="10">
        <v>0</v>
      </c>
      <c r="N29" s="10">
        <v>0</v>
      </c>
      <c r="O29" s="10">
        <f>20000-4067+168094</f>
        <v>184027</v>
      </c>
      <c r="P29" s="9">
        <f t="shared" si="2"/>
        <v>1167948</v>
      </c>
      <c r="R29" s="23">
        <v>1</v>
      </c>
    </row>
    <row r="30" spans="1:18" ht="114.75" hidden="1" x14ac:dyDescent="0.2">
      <c r="A30" s="3" t="s">
        <v>70</v>
      </c>
      <c r="B30" s="3" t="s">
        <v>71</v>
      </c>
      <c r="C30" s="3" t="s">
        <v>72</v>
      </c>
      <c r="D30" s="8" t="s">
        <v>73</v>
      </c>
      <c r="E30" s="9">
        <f t="shared" si="3"/>
        <v>4222023.62</v>
      </c>
      <c r="F30" s="10">
        <v>0</v>
      </c>
      <c r="G30" s="10">
        <v>0</v>
      </c>
      <c r="H30" s="10">
        <v>0</v>
      </c>
      <c r="I30" s="10">
        <f>800000+616000+2500000+137000-976.38+(170000)</f>
        <v>4222023.62</v>
      </c>
      <c r="J30" s="9">
        <f t="shared" si="4"/>
        <v>0</v>
      </c>
      <c r="K30" s="10">
        <v>0</v>
      </c>
      <c r="L30" s="10">
        <v>0</v>
      </c>
      <c r="M30" s="10">
        <v>0</v>
      </c>
      <c r="N30" s="10">
        <v>0</v>
      </c>
      <c r="O30" s="10">
        <v>0</v>
      </c>
      <c r="P30" s="9">
        <f t="shared" si="2"/>
        <v>4222023.62</v>
      </c>
      <c r="R30" s="23"/>
    </row>
    <row r="31" spans="1:18" hidden="1" x14ac:dyDescent="0.2">
      <c r="A31" s="3" t="s">
        <v>74</v>
      </c>
      <c r="B31" s="3" t="s">
        <v>75</v>
      </c>
      <c r="C31" s="3" t="s">
        <v>76</v>
      </c>
      <c r="D31" s="8" t="s">
        <v>77</v>
      </c>
      <c r="E31" s="9">
        <f t="shared" si="3"/>
        <v>16520</v>
      </c>
      <c r="F31" s="10">
        <f>200000-183480</f>
        <v>16520</v>
      </c>
      <c r="G31" s="10">
        <v>0</v>
      </c>
      <c r="H31" s="10">
        <v>0</v>
      </c>
      <c r="I31" s="10">
        <v>0</v>
      </c>
      <c r="J31" s="9">
        <f t="shared" si="4"/>
        <v>0</v>
      </c>
      <c r="K31" s="10">
        <v>0</v>
      </c>
      <c r="L31" s="10">
        <v>0</v>
      </c>
      <c r="M31" s="10">
        <v>0</v>
      </c>
      <c r="N31" s="10">
        <v>0</v>
      </c>
      <c r="O31" s="10">
        <v>0</v>
      </c>
      <c r="P31" s="9">
        <f t="shared" si="2"/>
        <v>16520</v>
      </c>
      <c r="R31" s="22"/>
    </row>
    <row r="32" spans="1:18" ht="31.5" hidden="1" x14ac:dyDescent="0.2">
      <c r="A32" s="18" t="s">
        <v>175</v>
      </c>
      <c r="B32" s="19">
        <v>7330</v>
      </c>
      <c r="C32" s="20" t="s">
        <v>173</v>
      </c>
      <c r="D32" s="21" t="s">
        <v>174</v>
      </c>
      <c r="E32" s="9">
        <f t="shared" ref="E32" si="5">F32+I32</f>
        <v>0</v>
      </c>
      <c r="F32" s="10">
        <v>0</v>
      </c>
      <c r="G32" s="10">
        <v>0</v>
      </c>
      <c r="H32" s="10">
        <v>0</v>
      </c>
      <c r="I32" s="10">
        <v>0</v>
      </c>
      <c r="J32" s="9">
        <f t="shared" ref="J32" si="6">L32+O32</f>
        <v>12000</v>
      </c>
      <c r="K32" s="10">
        <v>12000</v>
      </c>
      <c r="L32" s="10">
        <v>0</v>
      </c>
      <c r="M32" s="10">
        <v>0</v>
      </c>
      <c r="N32" s="10">
        <v>0</v>
      </c>
      <c r="O32" s="10">
        <v>12000</v>
      </c>
      <c r="P32" s="9">
        <f t="shared" ref="P32" si="7">E32+J32</f>
        <v>12000</v>
      </c>
      <c r="R32" s="22"/>
    </row>
    <row r="33" spans="1:18" ht="25.5" hidden="1" x14ac:dyDescent="0.2">
      <c r="A33" s="3" t="s">
        <v>78</v>
      </c>
      <c r="B33" s="3" t="s">
        <v>79</v>
      </c>
      <c r="C33" s="3" t="s">
        <v>80</v>
      </c>
      <c r="D33" s="8" t="s">
        <v>81</v>
      </c>
      <c r="E33" s="9">
        <f t="shared" si="3"/>
        <v>0</v>
      </c>
      <c r="F33" s="10">
        <v>0</v>
      </c>
      <c r="G33" s="10">
        <v>0</v>
      </c>
      <c r="H33" s="10">
        <v>0</v>
      </c>
      <c r="I33" s="10">
        <v>0</v>
      </c>
      <c r="J33" s="9">
        <f t="shared" si="4"/>
        <v>0</v>
      </c>
      <c r="K33" s="10">
        <f>200000-12000-142900-15000-30100</f>
        <v>0</v>
      </c>
      <c r="L33" s="10">
        <v>0</v>
      </c>
      <c r="M33" s="10">
        <v>0</v>
      </c>
      <c r="N33" s="10">
        <v>0</v>
      </c>
      <c r="O33" s="10">
        <f>200000-12000-142900-15000-30100</f>
        <v>0</v>
      </c>
      <c r="P33" s="9">
        <f t="shared" si="2"/>
        <v>0</v>
      </c>
      <c r="R33" s="22"/>
    </row>
    <row r="34" spans="1:18" ht="38.25" hidden="1" x14ac:dyDescent="0.2">
      <c r="A34" s="3" t="s">
        <v>82</v>
      </c>
      <c r="B34" s="3" t="s">
        <v>83</v>
      </c>
      <c r="C34" s="3" t="s">
        <v>84</v>
      </c>
      <c r="D34" s="8" t="s">
        <v>85</v>
      </c>
      <c r="E34" s="9">
        <f t="shared" si="3"/>
        <v>1001072.45</v>
      </c>
      <c r="F34" s="10">
        <f>700000+236000+65100-27.55</f>
        <v>1001072.45</v>
      </c>
      <c r="G34" s="10">
        <v>0</v>
      </c>
      <c r="H34" s="10">
        <v>0</v>
      </c>
      <c r="I34" s="10">
        <v>0</v>
      </c>
      <c r="J34" s="9">
        <f t="shared" si="4"/>
        <v>0</v>
      </c>
      <c r="K34" s="10">
        <v>0</v>
      </c>
      <c r="L34" s="10">
        <v>0</v>
      </c>
      <c r="M34" s="10">
        <v>0</v>
      </c>
      <c r="N34" s="10">
        <v>0</v>
      </c>
      <c r="O34" s="10">
        <v>0</v>
      </c>
      <c r="P34" s="9">
        <f t="shared" si="2"/>
        <v>1001072.45</v>
      </c>
      <c r="R34" s="23"/>
    </row>
    <row r="35" spans="1:18" ht="25.5" hidden="1" x14ac:dyDescent="0.2">
      <c r="A35" s="3" t="s">
        <v>86</v>
      </c>
      <c r="B35" s="3" t="s">
        <v>87</v>
      </c>
      <c r="C35" s="3" t="s">
        <v>88</v>
      </c>
      <c r="D35" s="8" t="s">
        <v>89</v>
      </c>
      <c r="E35" s="9">
        <f t="shared" si="3"/>
        <v>0</v>
      </c>
      <c r="F35" s="10">
        <f>30000-30000</f>
        <v>0</v>
      </c>
      <c r="G35" s="10">
        <v>0</v>
      </c>
      <c r="H35" s="10">
        <v>0</v>
      </c>
      <c r="I35" s="10">
        <v>0</v>
      </c>
      <c r="J35" s="9">
        <f t="shared" si="4"/>
        <v>0</v>
      </c>
      <c r="K35" s="10">
        <v>0</v>
      </c>
      <c r="L35" s="10">
        <v>0</v>
      </c>
      <c r="M35" s="10">
        <v>0</v>
      </c>
      <c r="N35" s="10">
        <v>0</v>
      </c>
      <c r="O35" s="10">
        <v>0</v>
      </c>
      <c r="P35" s="9">
        <f t="shared" si="2"/>
        <v>0</v>
      </c>
      <c r="R35" s="22"/>
    </row>
    <row r="36" spans="1:18" ht="25.5" hidden="1" x14ac:dyDescent="0.2">
      <c r="A36" s="16" t="s">
        <v>188</v>
      </c>
      <c r="B36" s="35">
        <v>7650</v>
      </c>
      <c r="C36" s="35" t="s">
        <v>80</v>
      </c>
      <c r="D36" s="8" t="s">
        <v>187</v>
      </c>
      <c r="E36" s="9">
        <f t="shared" ref="E36" si="8">F36+I36</f>
        <v>0</v>
      </c>
      <c r="F36" s="10"/>
      <c r="G36" s="10">
        <v>0</v>
      </c>
      <c r="H36" s="10">
        <v>0</v>
      </c>
      <c r="I36" s="10">
        <v>0</v>
      </c>
      <c r="J36" s="9">
        <f t="shared" ref="J36" si="9">L36+O36</f>
        <v>15000</v>
      </c>
      <c r="K36" s="10">
        <v>15000</v>
      </c>
      <c r="L36" s="10">
        <v>0</v>
      </c>
      <c r="M36" s="10">
        <v>0</v>
      </c>
      <c r="N36" s="10">
        <v>0</v>
      </c>
      <c r="O36" s="10">
        <v>15000</v>
      </c>
      <c r="P36" s="9">
        <f t="shared" ref="P36" si="10">E36+J36</f>
        <v>15000</v>
      </c>
      <c r="R36" s="23"/>
    </row>
    <row r="37" spans="1:18" ht="25.5" hidden="1" x14ac:dyDescent="0.2">
      <c r="A37" s="3" t="s">
        <v>90</v>
      </c>
      <c r="B37" s="3" t="s">
        <v>91</v>
      </c>
      <c r="C37" s="3" t="s">
        <v>80</v>
      </c>
      <c r="D37" s="8" t="s">
        <v>92</v>
      </c>
      <c r="E37" s="9">
        <f t="shared" si="3"/>
        <v>21300</v>
      </c>
      <c r="F37" s="10">
        <v>21300</v>
      </c>
      <c r="G37" s="10">
        <v>0</v>
      </c>
      <c r="H37" s="10">
        <v>0</v>
      </c>
      <c r="I37" s="10">
        <v>0</v>
      </c>
      <c r="J37" s="9">
        <f t="shared" si="4"/>
        <v>0</v>
      </c>
      <c r="K37" s="10">
        <v>0</v>
      </c>
      <c r="L37" s="10">
        <v>0</v>
      </c>
      <c r="M37" s="10">
        <v>0</v>
      </c>
      <c r="N37" s="10">
        <v>0</v>
      </c>
      <c r="O37" s="10">
        <v>0</v>
      </c>
      <c r="P37" s="9">
        <f t="shared" si="2"/>
        <v>21300</v>
      </c>
      <c r="R37" s="22"/>
    </row>
    <row r="38" spans="1:18" ht="25.5" hidden="1" x14ac:dyDescent="0.2">
      <c r="A38" s="3" t="s">
        <v>93</v>
      </c>
      <c r="B38" s="3" t="s">
        <v>94</v>
      </c>
      <c r="C38" s="3" t="s">
        <v>80</v>
      </c>
      <c r="D38" s="8" t="s">
        <v>95</v>
      </c>
      <c r="E38" s="9">
        <f t="shared" si="3"/>
        <v>140900</v>
      </c>
      <c r="F38" s="10">
        <v>140900</v>
      </c>
      <c r="G38" s="10">
        <v>0</v>
      </c>
      <c r="H38" s="10">
        <v>0</v>
      </c>
      <c r="I38" s="10">
        <v>0</v>
      </c>
      <c r="J38" s="9">
        <f t="shared" si="4"/>
        <v>0</v>
      </c>
      <c r="K38" s="10">
        <v>0</v>
      </c>
      <c r="L38" s="10">
        <v>0</v>
      </c>
      <c r="M38" s="10">
        <v>0</v>
      </c>
      <c r="N38" s="10">
        <v>0</v>
      </c>
      <c r="O38" s="10">
        <v>0</v>
      </c>
      <c r="P38" s="9">
        <f t="shared" si="2"/>
        <v>140900</v>
      </c>
      <c r="R38" s="22"/>
    </row>
    <row r="39" spans="1:18" ht="25.5" hidden="1" x14ac:dyDescent="0.2">
      <c r="A39" s="24" t="s">
        <v>199</v>
      </c>
      <c r="B39" s="25">
        <v>8220</v>
      </c>
      <c r="C39" s="24" t="s">
        <v>177</v>
      </c>
      <c r="D39" s="26" t="s">
        <v>200</v>
      </c>
      <c r="E39" s="9">
        <f t="shared" si="3"/>
        <v>47500</v>
      </c>
      <c r="F39" s="10">
        <f>100000-52500</f>
        <v>47500</v>
      </c>
      <c r="G39" s="10"/>
      <c r="H39" s="10"/>
      <c r="I39" s="10"/>
      <c r="J39" s="9">
        <f t="shared" si="4"/>
        <v>0</v>
      </c>
      <c r="K39" s="10">
        <v>0</v>
      </c>
      <c r="L39" s="10">
        <v>0</v>
      </c>
      <c r="M39" s="10">
        <v>0</v>
      </c>
      <c r="N39" s="10">
        <v>0</v>
      </c>
      <c r="O39" s="10">
        <v>0</v>
      </c>
      <c r="P39" s="9">
        <f t="shared" si="2"/>
        <v>47500</v>
      </c>
      <c r="R39" s="22"/>
    </row>
    <row r="40" spans="1:18" hidden="1" x14ac:dyDescent="0.2">
      <c r="A40" s="24" t="s">
        <v>176</v>
      </c>
      <c r="B40" s="25">
        <v>8230</v>
      </c>
      <c r="C40" s="24" t="s">
        <v>177</v>
      </c>
      <c r="D40" s="26" t="s">
        <v>178</v>
      </c>
      <c r="E40" s="9">
        <f t="shared" si="3"/>
        <v>5699</v>
      </c>
      <c r="F40" s="10">
        <f>699+5000</f>
        <v>5699</v>
      </c>
      <c r="G40" s="27">
        <v>0</v>
      </c>
      <c r="H40" s="27">
        <v>0</v>
      </c>
      <c r="I40" s="27">
        <v>0</v>
      </c>
      <c r="J40" s="9">
        <f t="shared" si="4"/>
        <v>0</v>
      </c>
      <c r="K40" s="10">
        <v>0</v>
      </c>
      <c r="L40" s="10">
        <v>0</v>
      </c>
      <c r="M40" s="10">
        <v>0</v>
      </c>
      <c r="N40" s="10">
        <v>0</v>
      </c>
      <c r="O40" s="10">
        <v>0</v>
      </c>
      <c r="P40" s="9">
        <f t="shared" si="2"/>
        <v>5699</v>
      </c>
      <c r="R40" s="23"/>
    </row>
    <row r="41" spans="1:18" ht="25.5" hidden="1" x14ac:dyDescent="0.2">
      <c r="A41" s="3" t="s">
        <v>96</v>
      </c>
      <c r="B41" s="3" t="s">
        <v>97</v>
      </c>
      <c r="C41" s="3" t="s">
        <v>98</v>
      </c>
      <c r="D41" s="8" t="s">
        <v>99</v>
      </c>
      <c r="E41" s="9">
        <f t="shared" si="3"/>
        <v>0</v>
      </c>
      <c r="F41" s="10">
        <v>0</v>
      </c>
      <c r="G41" s="10">
        <v>0</v>
      </c>
      <c r="H41" s="10">
        <v>0</v>
      </c>
      <c r="I41" s="10">
        <v>0</v>
      </c>
      <c r="J41" s="9">
        <f t="shared" si="4"/>
        <v>454600</v>
      </c>
      <c r="K41" s="10">
        <v>0</v>
      </c>
      <c r="L41" s="10">
        <f>26900+27700+400000</f>
        <v>454600</v>
      </c>
      <c r="M41" s="10">
        <v>0</v>
      </c>
      <c r="N41" s="10">
        <v>0</v>
      </c>
      <c r="O41" s="10">
        <v>0</v>
      </c>
      <c r="P41" s="9">
        <f t="shared" si="2"/>
        <v>454600</v>
      </c>
      <c r="R41" s="23"/>
    </row>
    <row r="42" spans="1:18" ht="25.5" x14ac:dyDescent="0.2">
      <c r="A42" s="5" t="s">
        <v>100</v>
      </c>
      <c r="B42" s="5" t="s">
        <v>19</v>
      </c>
      <c r="C42" s="5" t="s">
        <v>19</v>
      </c>
      <c r="D42" s="13" t="s">
        <v>162</v>
      </c>
      <c r="E42" s="6">
        <f>E43</f>
        <v>205155605.78</v>
      </c>
      <c r="F42" s="7">
        <f t="shared" ref="F42:O42" si="11">F43</f>
        <v>205155605.78</v>
      </c>
      <c r="G42" s="7">
        <f t="shared" si="11"/>
        <v>143214984.44</v>
      </c>
      <c r="H42" s="7">
        <f t="shared" si="11"/>
        <v>21020249.02</v>
      </c>
      <c r="I42" s="7">
        <f t="shared" si="11"/>
        <v>0</v>
      </c>
      <c r="J42" s="6">
        <f t="shared" si="11"/>
        <v>7351650</v>
      </c>
      <c r="K42" s="7">
        <f t="shared" si="11"/>
        <v>2089050</v>
      </c>
      <c r="L42" s="7">
        <f t="shared" si="11"/>
        <v>3280077</v>
      </c>
      <c r="M42" s="7">
        <f t="shared" si="11"/>
        <v>245000</v>
      </c>
      <c r="N42" s="7">
        <f t="shared" si="11"/>
        <v>0</v>
      </c>
      <c r="O42" s="7">
        <f t="shared" si="11"/>
        <v>4071573</v>
      </c>
      <c r="P42" s="6">
        <f t="shared" si="2"/>
        <v>212507255.78</v>
      </c>
      <c r="R42" s="22">
        <v>1</v>
      </c>
    </row>
    <row r="43" spans="1:18" ht="38.25" x14ac:dyDescent="0.2">
      <c r="A43" s="5" t="s">
        <v>101</v>
      </c>
      <c r="B43" s="5" t="s">
        <v>19</v>
      </c>
      <c r="C43" s="5" t="s">
        <v>19</v>
      </c>
      <c r="D43" s="13" t="s">
        <v>163</v>
      </c>
      <c r="E43" s="6">
        <f>SUM(E44:E66)</f>
        <v>205155605.78</v>
      </c>
      <c r="F43" s="7">
        <f>SUM(F44:F66)</f>
        <v>205155605.78</v>
      </c>
      <c r="G43" s="7">
        <f t="shared" ref="G43:O43" si="12">SUM(G44:G66)</f>
        <v>143214984.44</v>
      </c>
      <c r="H43" s="7">
        <f t="shared" si="12"/>
        <v>21020249.02</v>
      </c>
      <c r="I43" s="7">
        <f t="shared" si="12"/>
        <v>0</v>
      </c>
      <c r="J43" s="6">
        <f t="shared" si="12"/>
        <v>7351650</v>
      </c>
      <c r="K43" s="7">
        <f t="shared" si="12"/>
        <v>2089050</v>
      </c>
      <c r="L43" s="7">
        <f t="shared" si="12"/>
        <v>3280077</v>
      </c>
      <c r="M43" s="7">
        <f t="shared" si="12"/>
        <v>245000</v>
      </c>
      <c r="N43" s="7">
        <f t="shared" si="12"/>
        <v>0</v>
      </c>
      <c r="O43" s="7">
        <f t="shared" si="12"/>
        <v>4071573</v>
      </c>
      <c r="P43" s="6">
        <f t="shared" si="2"/>
        <v>212507255.78</v>
      </c>
      <c r="R43" s="22">
        <v>1</v>
      </c>
    </row>
    <row r="44" spans="1:18" ht="38.25" x14ac:dyDescent="0.2">
      <c r="A44" s="3" t="s">
        <v>102</v>
      </c>
      <c r="B44" s="3" t="s">
        <v>103</v>
      </c>
      <c r="C44" s="3" t="s">
        <v>23</v>
      </c>
      <c r="D44" s="8" t="s">
        <v>104</v>
      </c>
      <c r="E44" s="9">
        <f t="shared" ref="E44:E66" si="13">F44+I44</f>
        <v>1587164</v>
      </c>
      <c r="F44" s="10">
        <f>1025334+35810+86900+153620+(150000)+71370+64130</f>
        <v>1587164</v>
      </c>
      <c r="G44" s="10">
        <f>829782+60500+126325+(123000)+58500+44270</f>
        <v>1242377</v>
      </c>
      <c r="H44" s="10">
        <v>0</v>
      </c>
      <c r="I44" s="10">
        <v>0</v>
      </c>
      <c r="J44" s="9">
        <f t="shared" ref="J44:J66" si="14">L44+O44</f>
        <v>0</v>
      </c>
      <c r="K44" s="10">
        <v>0</v>
      </c>
      <c r="L44" s="10">
        <v>0</v>
      </c>
      <c r="M44" s="10">
        <v>0</v>
      </c>
      <c r="N44" s="10">
        <v>0</v>
      </c>
      <c r="O44" s="10">
        <v>0</v>
      </c>
      <c r="P44" s="9">
        <f t="shared" si="2"/>
        <v>1587164</v>
      </c>
      <c r="R44" s="23">
        <v>1</v>
      </c>
    </row>
    <row r="45" spans="1:18" x14ac:dyDescent="0.2">
      <c r="A45" s="3" t="s">
        <v>105</v>
      </c>
      <c r="B45" s="3" t="s">
        <v>54</v>
      </c>
      <c r="C45" s="3" t="s">
        <v>106</v>
      </c>
      <c r="D45" s="8" t="s">
        <v>107</v>
      </c>
      <c r="E45" s="9">
        <f t="shared" si="13"/>
        <v>34183522.020000003</v>
      </c>
      <c r="F45" s="10">
        <f>35854922.02-22000-10000-4000-120000+(44600)-1500000+500000-560000</f>
        <v>34183522.020000003</v>
      </c>
      <c r="G45" s="10">
        <f>21717655-666107-(1181000)-165000</f>
        <v>19705548</v>
      </c>
      <c r="H45" s="10">
        <f>6420812+1061992.03+159298.74+3692.18+8944.01+1890.06+(200000-30000)+140000+39106+27661-120000-360000</f>
        <v>7553396.0199999996</v>
      </c>
      <c r="I45" s="10">
        <v>0</v>
      </c>
      <c r="J45" s="9">
        <f t="shared" si="14"/>
        <v>1275000</v>
      </c>
      <c r="K45" s="47">
        <f>635000+110100-355752.68-314347.32</f>
        <v>75000</v>
      </c>
      <c r="L45" s="10">
        <v>1200000</v>
      </c>
      <c r="M45" s="10">
        <v>0</v>
      </c>
      <c r="N45" s="10">
        <v>0</v>
      </c>
      <c r="O45" s="10">
        <f>635000+110100-355752.68-314347.32</f>
        <v>75000</v>
      </c>
      <c r="P45" s="9">
        <f t="shared" si="2"/>
        <v>35458522.020000003</v>
      </c>
      <c r="Q45" s="40"/>
      <c r="R45" s="23">
        <v>1</v>
      </c>
    </row>
    <row r="46" spans="1:18" ht="38.25" x14ac:dyDescent="0.2">
      <c r="A46" s="3" t="s">
        <v>108</v>
      </c>
      <c r="B46" s="3" t="s">
        <v>109</v>
      </c>
      <c r="C46" s="3" t="s">
        <v>110</v>
      </c>
      <c r="D46" s="8" t="s">
        <v>111</v>
      </c>
      <c r="E46" s="9">
        <f t="shared" si="13"/>
        <v>30150345</v>
      </c>
      <c r="F46" s="10">
        <f>27001186+85046+300000+220200+33390+119800+553200+267395+453491+221000+666107+32000+22320+112000+241380+(175400)-1075000+210800+510630</f>
        <v>30150345</v>
      </c>
      <c r="G46" s="10">
        <f>13782612-(900000)</f>
        <v>12882612</v>
      </c>
      <c r="H46" s="10">
        <f>8903399+300000+553200+267395+453491+112000+210800+488000</f>
        <v>11288285</v>
      </c>
      <c r="I46" s="10">
        <v>0</v>
      </c>
      <c r="J46" s="9">
        <f>L46+O46</f>
        <v>1914103</v>
      </c>
      <c r="K46" s="10">
        <f>340000-220200-119800+119800+163100+22473+86280+22450</f>
        <v>414103</v>
      </c>
      <c r="L46" s="10">
        <v>1500000</v>
      </c>
      <c r="M46" s="10">
        <v>0</v>
      </c>
      <c r="N46" s="10">
        <v>0</v>
      </c>
      <c r="O46" s="10">
        <f>340000-220200-119800+119800+163100+22473+86280+22450</f>
        <v>414103</v>
      </c>
      <c r="P46" s="9">
        <f t="shared" si="2"/>
        <v>32064448</v>
      </c>
      <c r="R46" s="23">
        <v>1</v>
      </c>
    </row>
    <row r="47" spans="1:18" ht="38.25" x14ac:dyDescent="0.2">
      <c r="A47" s="3" t="s">
        <v>112</v>
      </c>
      <c r="B47" s="3" t="s">
        <v>113</v>
      </c>
      <c r="C47" s="3" t="s">
        <v>110</v>
      </c>
      <c r="D47" s="8" t="s">
        <v>114</v>
      </c>
      <c r="E47" s="9">
        <f t="shared" si="13"/>
        <v>108486600</v>
      </c>
      <c r="F47" s="10">
        <f>108390100+96500</f>
        <v>108486600</v>
      </c>
      <c r="G47" s="10">
        <f>88844345+79000+170000</f>
        <v>89093345</v>
      </c>
      <c r="H47" s="10">
        <v>0</v>
      </c>
      <c r="I47" s="10">
        <v>0</v>
      </c>
      <c r="J47" s="9">
        <f t="shared" si="14"/>
        <v>0</v>
      </c>
      <c r="K47" s="10">
        <v>0</v>
      </c>
      <c r="L47" s="10">
        <v>0</v>
      </c>
      <c r="M47" s="10">
        <v>0</v>
      </c>
      <c r="N47" s="10">
        <v>0</v>
      </c>
      <c r="O47" s="10">
        <v>0</v>
      </c>
      <c r="P47" s="9">
        <f t="shared" si="2"/>
        <v>108486600</v>
      </c>
      <c r="R47" s="23">
        <v>1</v>
      </c>
    </row>
    <row r="48" spans="1:18" ht="127.5" hidden="1" x14ac:dyDescent="0.2">
      <c r="A48" s="16" t="s">
        <v>171</v>
      </c>
      <c r="B48" s="15">
        <v>1061</v>
      </c>
      <c r="C48" s="16" t="s">
        <v>110</v>
      </c>
      <c r="D48" s="8" t="s">
        <v>170</v>
      </c>
      <c r="E48" s="9">
        <f t="shared" ref="E48" si="15">F48+I48</f>
        <v>817731.44</v>
      </c>
      <c r="F48" s="10">
        <v>817731.44</v>
      </c>
      <c r="G48" s="10">
        <v>637731.43999999994</v>
      </c>
      <c r="H48" s="10"/>
      <c r="I48" s="10">
        <v>0</v>
      </c>
      <c r="J48" s="9">
        <f t="shared" ref="J48" si="16">L48+O48</f>
        <v>0</v>
      </c>
      <c r="K48" s="10">
        <v>0</v>
      </c>
      <c r="L48" s="10">
        <v>0</v>
      </c>
      <c r="M48" s="10">
        <v>0</v>
      </c>
      <c r="N48" s="10">
        <v>0</v>
      </c>
      <c r="O48" s="10">
        <v>0</v>
      </c>
      <c r="P48" s="9">
        <f t="shared" ref="P48" si="17">E48+J48</f>
        <v>817731.44</v>
      </c>
      <c r="R48" s="23"/>
    </row>
    <row r="49" spans="1:18" ht="38.25" x14ac:dyDescent="0.2">
      <c r="A49" s="3" t="s">
        <v>115</v>
      </c>
      <c r="B49" s="3" t="s">
        <v>43</v>
      </c>
      <c r="C49" s="3" t="s">
        <v>116</v>
      </c>
      <c r="D49" s="8" t="s">
        <v>117</v>
      </c>
      <c r="E49" s="9">
        <f t="shared" si="13"/>
        <v>3964280</v>
      </c>
      <c r="F49" s="10">
        <f>4126274+31054+180000+1676+13500+2976+2000-(357700)-35500</f>
        <v>3964280</v>
      </c>
      <c r="G49" s="10">
        <f>3161911-(284500)</f>
        <v>2877411</v>
      </c>
      <c r="H49" s="10">
        <f>243743+180000+2000-35500</f>
        <v>390243</v>
      </c>
      <c r="I49" s="10">
        <v>0</v>
      </c>
      <c r="J49" s="9">
        <f t="shared" si="14"/>
        <v>0</v>
      </c>
      <c r="K49" s="10">
        <v>0</v>
      </c>
      <c r="L49" s="10">
        <v>0</v>
      </c>
      <c r="M49" s="10">
        <v>0</v>
      </c>
      <c r="N49" s="10">
        <v>0</v>
      </c>
      <c r="O49" s="10">
        <v>0</v>
      </c>
      <c r="P49" s="9">
        <f t="shared" si="2"/>
        <v>3964280</v>
      </c>
      <c r="R49" s="23">
        <v>1</v>
      </c>
    </row>
    <row r="50" spans="1:18" ht="25.5" x14ac:dyDescent="0.2">
      <c r="A50" s="3" t="s">
        <v>118</v>
      </c>
      <c r="B50" s="3" t="s">
        <v>119</v>
      </c>
      <c r="C50" s="3" t="s">
        <v>116</v>
      </c>
      <c r="D50" s="8" t="s">
        <v>120</v>
      </c>
      <c r="E50" s="9">
        <f t="shared" si="13"/>
        <v>5155016</v>
      </c>
      <c r="F50" s="10">
        <f>5032344+63030+2260-35000+50000+42382</f>
        <v>5155016</v>
      </c>
      <c r="G50" s="10">
        <v>3895702</v>
      </c>
      <c r="H50" s="10">
        <f>253387+50000+18000</f>
        <v>321387</v>
      </c>
      <c r="I50" s="10">
        <v>0</v>
      </c>
      <c r="J50" s="9">
        <f t="shared" si="14"/>
        <v>300000</v>
      </c>
      <c r="K50" s="10">
        <v>0</v>
      </c>
      <c r="L50" s="10">
        <v>300000</v>
      </c>
      <c r="M50" s="10">
        <v>245000</v>
      </c>
      <c r="N50" s="10">
        <v>0</v>
      </c>
      <c r="O50" s="10">
        <v>0</v>
      </c>
      <c r="P50" s="9">
        <f t="shared" si="2"/>
        <v>5455016</v>
      </c>
      <c r="R50" s="36">
        <v>1</v>
      </c>
    </row>
    <row r="51" spans="1:18" hidden="1" x14ac:dyDescent="0.2">
      <c r="A51" s="29"/>
      <c r="B51" s="30"/>
      <c r="C51" s="29"/>
      <c r="D51" s="31"/>
      <c r="E51" s="9">
        <f t="shared" si="13"/>
        <v>0</v>
      </c>
      <c r="F51" s="28"/>
      <c r="G51" s="28"/>
      <c r="H51" s="28">
        <v>0</v>
      </c>
      <c r="I51" s="28">
        <v>0</v>
      </c>
      <c r="J51" s="9">
        <f t="shared" si="14"/>
        <v>0</v>
      </c>
      <c r="K51" s="28">
        <v>0</v>
      </c>
      <c r="L51" s="28">
        <v>0</v>
      </c>
      <c r="M51" s="28">
        <v>0</v>
      </c>
      <c r="N51" s="28">
        <v>0</v>
      </c>
      <c r="O51" s="28">
        <v>0</v>
      </c>
      <c r="P51" s="9">
        <f t="shared" si="2"/>
        <v>0</v>
      </c>
      <c r="R51" s="36"/>
    </row>
    <row r="52" spans="1:18" ht="25.5" x14ac:dyDescent="0.2">
      <c r="A52" s="3" t="s">
        <v>121</v>
      </c>
      <c r="B52" s="3" t="s">
        <v>122</v>
      </c>
      <c r="C52" s="3" t="s">
        <v>123</v>
      </c>
      <c r="D52" s="8" t="s">
        <v>124</v>
      </c>
      <c r="E52" s="9">
        <f t="shared" si="13"/>
        <v>4767887</v>
      </c>
      <c r="F52" s="10">
        <f>2857724+50000+820295+14910+85900+26000+6000+1488+384700+(400000)+120870</f>
        <v>4767887</v>
      </c>
      <c r="G52" s="10">
        <f>2159857+672373+79400+26000+313860+(328000)+99254</f>
        <v>3678744</v>
      </c>
      <c r="H52" s="10">
        <f>142698+50000</f>
        <v>192698</v>
      </c>
      <c r="I52" s="10">
        <v>0</v>
      </c>
      <c r="J52" s="9">
        <f t="shared" si="14"/>
        <v>0</v>
      </c>
      <c r="K52" s="10">
        <v>0</v>
      </c>
      <c r="L52" s="10">
        <v>0</v>
      </c>
      <c r="M52" s="10">
        <v>0</v>
      </c>
      <c r="N52" s="10">
        <v>0</v>
      </c>
      <c r="O52" s="10">
        <v>0</v>
      </c>
      <c r="P52" s="9">
        <f t="shared" si="2"/>
        <v>4767887</v>
      </c>
      <c r="R52" s="23">
        <v>1</v>
      </c>
    </row>
    <row r="53" spans="1:18" x14ac:dyDescent="0.2">
      <c r="A53" s="3" t="s">
        <v>125</v>
      </c>
      <c r="B53" s="3" t="s">
        <v>126</v>
      </c>
      <c r="C53" s="3" t="s">
        <v>123</v>
      </c>
      <c r="D53" s="8" t="s">
        <v>127</v>
      </c>
      <c r="E53" s="9">
        <f t="shared" si="13"/>
        <v>1414000</v>
      </c>
      <c r="F53" s="10">
        <f>1587000-50000-80000-43000</f>
        <v>1414000</v>
      </c>
      <c r="G53" s="10">
        <v>0</v>
      </c>
      <c r="H53" s="10">
        <v>0</v>
      </c>
      <c r="I53" s="10">
        <v>0</v>
      </c>
      <c r="J53" s="9">
        <f t="shared" si="14"/>
        <v>0</v>
      </c>
      <c r="K53" s="10">
        <v>0</v>
      </c>
      <c r="L53" s="10">
        <v>0</v>
      </c>
      <c r="M53" s="10">
        <v>0</v>
      </c>
      <c r="N53" s="10">
        <v>0</v>
      </c>
      <c r="O53" s="10">
        <v>0</v>
      </c>
      <c r="P53" s="9">
        <f t="shared" si="2"/>
        <v>1414000</v>
      </c>
      <c r="R53" s="23">
        <v>1</v>
      </c>
    </row>
    <row r="54" spans="1:18" ht="25.5" x14ac:dyDescent="0.2">
      <c r="A54" s="3" t="s">
        <v>128</v>
      </c>
      <c r="B54" s="3" t="s">
        <v>129</v>
      </c>
      <c r="C54" s="3" t="s">
        <v>123</v>
      </c>
      <c r="D54" s="8" t="s">
        <v>130</v>
      </c>
      <c r="E54" s="9">
        <f t="shared" si="13"/>
        <v>192948</v>
      </c>
      <c r="F54" s="10">
        <f>276460+15000-20000-26000-35000-17512</f>
        <v>192948</v>
      </c>
      <c r="G54" s="10">
        <f>126229-18000-12012</f>
        <v>96217</v>
      </c>
      <c r="H54" s="10">
        <f>61461+15000-20000-5500</f>
        <v>50961</v>
      </c>
      <c r="I54" s="10">
        <v>0</v>
      </c>
      <c r="J54" s="9">
        <f t="shared" si="14"/>
        <v>0</v>
      </c>
      <c r="K54" s="10">
        <v>0</v>
      </c>
      <c r="L54" s="10">
        <v>0</v>
      </c>
      <c r="M54" s="10">
        <v>0</v>
      </c>
      <c r="N54" s="10">
        <v>0</v>
      </c>
      <c r="O54" s="10">
        <v>0</v>
      </c>
      <c r="P54" s="9">
        <f t="shared" si="2"/>
        <v>192948</v>
      </c>
      <c r="R54" s="23">
        <v>1</v>
      </c>
    </row>
    <row r="55" spans="1:18" ht="25.5" x14ac:dyDescent="0.2">
      <c r="A55" s="3" t="s">
        <v>131</v>
      </c>
      <c r="B55" s="3" t="s">
        <v>132</v>
      </c>
      <c r="C55" s="3" t="s">
        <v>123</v>
      </c>
      <c r="D55" s="8" t="s">
        <v>133</v>
      </c>
      <c r="E55" s="9">
        <f t="shared" si="13"/>
        <v>2212900</v>
      </c>
      <c r="F55" s="10">
        <v>2212900</v>
      </c>
      <c r="G55" s="10">
        <f>1836432+16000</f>
        <v>1852432</v>
      </c>
      <c r="H55" s="10">
        <v>0</v>
      </c>
      <c r="I55" s="10">
        <v>0</v>
      </c>
      <c r="J55" s="9">
        <f t="shared" si="14"/>
        <v>0</v>
      </c>
      <c r="K55" s="10">
        <v>0</v>
      </c>
      <c r="L55" s="10">
        <v>0</v>
      </c>
      <c r="M55" s="10">
        <v>0</v>
      </c>
      <c r="N55" s="10">
        <v>0</v>
      </c>
      <c r="O55" s="10">
        <v>0</v>
      </c>
      <c r="P55" s="9">
        <f t="shared" si="2"/>
        <v>2212900</v>
      </c>
      <c r="R55" s="22">
        <v>1</v>
      </c>
    </row>
    <row r="56" spans="1:18" ht="63.75" hidden="1" x14ac:dyDescent="0.2">
      <c r="A56" s="41" t="s">
        <v>192</v>
      </c>
      <c r="B56" s="41">
        <v>1181</v>
      </c>
      <c r="C56" s="41" t="s">
        <v>193</v>
      </c>
      <c r="D56" s="8" t="s">
        <v>194</v>
      </c>
      <c r="E56" s="9">
        <f t="shared" si="13"/>
        <v>0</v>
      </c>
      <c r="F56" s="10"/>
      <c r="G56" s="10"/>
      <c r="H56" s="10"/>
      <c r="I56" s="10"/>
      <c r="J56" s="9">
        <f t="shared" si="14"/>
        <v>138000</v>
      </c>
      <c r="K56" s="10">
        <v>138000</v>
      </c>
      <c r="L56" s="10"/>
      <c r="M56" s="10"/>
      <c r="N56" s="10"/>
      <c r="O56" s="10">
        <v>138000</v>
      </c>
      <c r="P56" s="9">
        <f t="shared" si="2"/>
        <v>138000</v>
      </c>
      <c r="R56" s="22"/>
    </row>
    <row r="57" spans="1:18" ht="63.75" hidden="1" x14ac:dyDescent="0.2">
      <c r="A57" s="29" t="s">
        <v>190</v>
      </c>
      <c r="B57" s="30">
        <v>1182</v>
      </c>
      <c r="C57" s="29" t="s">
        <v>123</v>
      </c>
      <c r="D57" s="42" t="s">
        <v>191</v>
      </c>
      <c r="E57" s="9"/>
      <c r="F57" s="10"/>
      <c r="G57" s="10"/>
      <c r="H57" s="10"/>
      <c r="I57" s="10"/>
      <c r="J57" s="9">
        <f t="shared" si="14"/>
        <v>1241400</v>
      </c>
      <c r="K57" s="10">
        <v>1241400</v>
      </c>
      <c r="L57" s="10"/>
      <c r="M57" s="10"/>
      <c r="N57" s="10"/>
      <c r="O57" s="10">
        <v>1241400</v>
      </c>
      <c r="P57" s="9">
        <f t="shared" si="2"/>
        <v>1241400</v>
      </c>
      <c r="R57" s="22"/>
    </row>
    <row r="58" spans="1:18" ht="51" x14ac:dyDescent="0.2">
      <c r="A58" s="29" t="s">
        <v>179</v>
      </c>
      <c r="B58" s="30">
        <v>1200</v>
      </c>
      <c r="C58" s="29" t="s">
        <v>123</v>
      </c>
      <c r="D58" s="31" t="s">
        <v>180</v>
      </c>
      <c r="E58" s="9">
        <f t="shared" si="13"/>
        <v>96964.72</v>
      </c>
      <c r="F58" s="10">
        <f>198200-101235.28</f>
        <v>96964.72</v>
      </c>
      <c r="G58" s="10">
        <f>162459-81147</f>
        <v>81312</v>
      </c>
      <c r="H58" s="10">
        <v>0</v>
      </c>
      <c r="I58" s="10">
        <v>0</v>
      </c>
      <c r="J58" s="9">
        <f t="shared" si="14"/>
        <v>0</v>
      </c>
      <c r="K58" s="10">
        <v>0</v>
      </c>
      <c r="L58" s="10">
        <v>0</v>
      </c>
      <c r="M58" s="10">
        <v>0</v>
      </c>
      <c r="N58" s="10">
        <v>0</v>
      </c>
      <c r="O58" s="10">
        <v>0</v>
      </c>
      <c r="P58" s="9">
        <f t="shared" si="2"/>
        <v>96964.72</v>
      </c>
      <c r="R58" s="23">
        <v>1</v>
      </c>
    </row>
    <row r="59" spans="1:18" ht="63.75" hidden="1" x14ac:dyDescent="0.2">
      <c r="A59" s="16" t="s">
        <v>167</v>
      </c>
      <c r="B59" s="15">
        <v>1210</v>
      </c>
      <c r="C59" s="15" t="s">
        <v>123</v>
      </c>
      <c r="D59" s="8" t="s">
        <v>168</v>
      </c>
      <c r="E59" s="9">
        <f t="shared" ref="E59:E61" si="18">F59+I59</f>
        <v>155668.6</v>
      </c>
      <c r="F59" s="10">
        <v>155668.6</v>
      </c>
      <c r="G59" s="10">
        <v>121421</v>
      </c>
      <c r="H59" s="10"/>
      <c r="I59" s="10">
        <v>0</v>
      </c>
      <c r="J59" s="9">
        <f t="shared" ref="J59:J61" si="19">L59+O59</f>
        <v>0</v>
      </c>
      <c r="K59" s="10">
        <v>0</v>
      </c>
      <c r="L59" s="10">
        <v>0</v>
      </c>
      <c r="M59" s="10">
        <v>0</v>
      </c>
      <c r="N59" s="10">
        <v>0</v>
      </c>
      <c r="O59" s="10">
        <v>0</v>
      </c>
      <c r="P59" s="9">
        <f t="shared" ref="P59:P61" si="20">E59+J59</f>
        <v>155668.6</v>
      </c>
      <c r="R59" s="23"/>
    </row>
    <row r="60" spans="1:18" ht="89.25" hidden="1" x14ac:dyDescent="0.2">
      <c r="A60" s="25" t="s">
        <v>183</v>
      </c>
      <c r="B60" s="25">
        <v>1291</v>
      </c>
      <c r="C60" s="24" t="s">
        <v>184</v>
      </c>
      <c r="D60" s="33" t="s">
        <v>185</v>
      </c>
      <c r="E60" s="9">
        <f t="shared" si="18"/>
        <v>31453</v>
      </c>
      <c r="F60" s="10">
        <v>31453</v>
      </c>
      <c r="G60" s="10">
        <v>0</v>
      </c>
      <c r="H60" s="10">
        <v>0</v>
      </c>
      <c r="I60" s="10">
        <v>0</v>
      </c>
      <c r="J60" s="9">
        <f t="shared" si="19"/>
        <v>220547</v>
      </c>
      <c r="K60" s="10">
        <f>125000+67847+27700</f>
        <v>220547</v>
      </c>
      <c r="L60" s="10"/>
      <c r="M60" s="10"/>
      <c r="N60" s="10"/>
      <c r="O60" s="10">
        <f>125000+67847+27700</f>
        <v>220547</v>
      </c>
      <c r="P60" s="9">
        <f t="shared" si="20"/>
        <v>252000</v>
      </c>
      <c r="R60" s="23"/>
    </row>
    <row r="61" spans="1:18" ht="96" hidden="1" customHeight="1" x14ac:dyDescent="0.2">
      <c r="A61" s="29" t="s">
        <v>181</v>
      </c>
      <c r="B61" s="30">
        <v>1292</v>
      </c>
      <c r="C61" s="32" t="s">
        <v>123</v>
      </c>
      <c r="D61" s="34" t="s">
        <v>182</v>
      </c>
      <c r="E61" s="9">
        <f t="shared" si="18"/>
        <v>0</v>
      </c>
      <c r="F61" s="10">
        <v>0</v>
      </c>
      <c r="G61" s="10">
        <v>0</v>
      </c>
      <c r="H61" s="10">
        <v>0</v>
      </c>
      <c r="I61" s="10">
        <v>0</v>
      </c>
      <c r="J61" s="9">
        <f t="shared" si="19"/>
        <v>2262600</v>
      </c>
      <c r="K61" s="10"/>
      <c r="L61" s="10">
        <v>280077</v>
      </c>
      <c r="M61" s="10"/>
      <c r="N61" s="10"/>
      <c r="O61" s="10">
        <f>1122600+859923</f>
        <v>1982523</v>
      </c>
      <c r="P61" s="9">
        <f t="shared" si="20"/>
        <v>2262600</v>
      </c>
      <c r="R61" s="23"/>
    </row>
    <row r="62" spans="1:18" ht="51" x14ac:dyDescent="0.2">
      <c r="A62" s="29" t="s">
        <v>201</v>
      </c>
      <c r="B62" s="30">
        <v>1403</v>
      </c>
      <c r="C62" s="32" t="s">
        <v>123</v>
      </c>
      <c r="D62" s="34" t="s">
        <v>202</v>
      </c>
      <c r="E62" s="9">
        <f t="shared" si="13"/>
        <v>1834100</v>
      </c>
      <c r="F62" s="10">
        <f>2638400-804300</f>
        <v>1834100</v>
      </c>
      <c r="G62" s="10"/>
      <c r="H62" s="10"/>
      <c r="I62" s="10"/>
      <c r="J62" s="9">
        <f t="shared" si="14"/>
        <v>0</v>
      </c>
      <c r="K62" s="10"/>
      <c r="L62" s="10"/>
      <c r="M62" s="10"/>
      <c r="N62" s="10"/>
      <c r="O62" s="10"/>
      <c r="P62" s="9">
        <f t="shared" si="2"/>
        <v>1834100</v>
      </c>
      <c r="R62" s="23">
        <v>1</v>
      </c>
    </row>
    <row r="63" spans="1:18" x14ac:dyDescent="0.2">
      <c r="A63" s="3" t="s">
        <v>134</v>
      </c>
      <c r="B63" s="3" t="s">
        <v>135</v>
      </c>
      <c r="C63" s="3" t="s">
        <v>136</v>
      </c>
      <c r="D63" s="8" t="s">
        <v>137</v>
      </c>
      <c r="E63" s="9">
        <f t="shared" si="13"/>
        <v>3428897</v>
      </c>
      <c r="F63" s="10">
        <f>3389497+15900+28400+4100+4000+2000-15000</f>
        <v>3428897</v>
      </c>
      <c r="G63" s="10">
        <v>2457165</v>
      </c>
      <c r="H63" s="10">
        <f>369756+28400+2000-30000</f>
        <v>370156</v>
      </c>
      <c r="I63" s="10">
        <v>0</v>
      </c>
      <c r="J63" s="9">
        <f t="shared" si="14"/>
        <v>0</v>
      </c>
      <c r="K63" s="10">
        <f>23100-23100</f>
        <v>0</v>
      </c>
      <c r="L63" s="10">
        <v>0</v>
      </c>
      <c r="M63" s="10">
        <v>0</v>
      </c>
      <c r="N63" s="10">
        <v>0</v>
      </c>
      <c r="O63" s="10">
        <f>23100-23100</f>
        <v>0</v>
      </c>
      <c r="P63" s="9">
        <f t="shared" si="2"/>
        <v>3428897</v>
      </c>
      <c r="R63" s="23">
        <v>1</v>
      </c>
    </row>
    <row r="64" spans="1:18" ht="38.25" x14ac:dyDescent="0.2">
      <c r="A64" s="3" t="s">
        <v>138</v>
      </c>
      <c r="B64" s="3" t="s">
        <v>139</v>
      </c>
      <c r="C64" s="3" t="s">
        <v>140</v>
      </c>
      <c r="D64" s="8" t="s">
        <v>141</v>
      </c>
      <c r="E64" s="9">
        <f t="shared" si="13"/>
        <v>4232063</v>
      </c>
      <c r="F64" s="10">
        <f>4376085-100000+39600+1150-13772+4000-75000</f>
        <v>4232063</v>
      </c>
      <c r="G64" s="10">
        <v>2828765</v>
      </c>
      <c r="H64" s="10">
        <f>874992-100000+39600+4000-75000</f>
        <v>743592</v>
      </c>
      <c r="I64" s="10">
        <v>0</v>
      </c>
      <c r="J64" s="9">
        <f t="shared" si="14"/>
        <v>0</v>
      </c>
      <c r="K64" s="10">
        <v>0</v>
      </c>
      <c r="L64" s="10">
        <v>0</v>
      </c>
      <c r="M64" s="10">
        <v>0</v>
      </c>
      <c r="N64" s="10">
        <v>0</v>
      </c>
      <c r="O64" s="10">
        <v>0</v>
      </c>
      <c r="P64" s="9">
        <f t="shared" si="2"/>
        <v>4232063</v>
      </c>
      <c r="R64" s="23">
        <v>1</v>
      </c>
    </row>
    <row r="65" spans="1:18" x14ac:dyDescent="0.2">
      <c r="A65" s="3" t="s">
        <v>142</v>
      </c>
      <c r="B65" s="3" t="s">
        <v>143</v>
      </c>
      <c r="C65" s="3" t="s">
        <v>144</v>
      </c>
      <c r="D65" s="8" t="s">
        <v>145</v>
      </c>
      <c r="E65" s="9">
        <f t="shared" si="13"/>
        <v>78720</v>
      </c>
      <c r="F65" s="10">
        <f>150000-79280+8000</f>
        <v>78720</v>
      </c>
      <c r="G65" s="10">
        <v>0</v>
      </c>
      <c r="H65" s="10">
        <v>0</v>
      </c>
      <c r="I65" s="10">
        <v>0</v>
      </c>
      <c r="J65" s="9">
        <f t="shared" si="14"/>
        <v>0</v>
      </c>
      <c r="K65" s="10">
        <v>0</v>
      </c>
      <c r="L65" s="10">
        <v>0</v>
      </c>
      <c r="M65" s="10">
        <v>0</v>
      </c>
      <c r="N65" s="10">
        <v>0</v>
      </c>
      <c r="O65" s="10">
        <v>0</v>
      </c>
      <c r="P65" s="9">
        <f t="shared" si="2"/>
        <v>78720</v>
      </c>
      <c r="R65" s="22">
        <v>1</v>
      </c>
    </row>
    <row r="66" spans="1:18" ht="38.25" hidden="1" x14ac:dyDescent="0.2">
      <c r="A66" s="3" t="s">
        <v>146</v>
      </c>
      <c r="B66" s="3" t="s">
        <v>147</v>
      </c>
      <c r="C66" s="3" t="s">
        <v>148</v>
      </c>
      <c r="D66" s="8" t="s">
        <v>149</v>
      </c>
      <c r="E66" s="9">
        <f t="shared" si="13"/>
        <v>2365346</v>
      </c>
      <c r="F66" s="10">
        <f>2310248+23000+16610-30000+43000+1000+1488</f>
        <v>2365346</v>
      </c>
      <c r="G66" s="10">
        <v>1764202</v>
      </c>
      <c r="H66" s="10">
        <f>122921+16610-30000</f>
        <v>109531</v>
      </c>
      <c r="I66" s="10">
        <v>0</v>
      </c>
      <c r="J66" s="9">
        <f t="shared" si="14"/>
        <v>0</v>
      </c>
      <c r="K66" s="10">
        <f>23000-23000</f>
        <v>0</v>
      </c>
      <c r="L66" s="10">
        <v>0</v>
      </c>
      <c r="M66" s="10">
        <v>0</v>
      </c>
      <c r="N66" s="10">
        <v>0</v>
      </c>
      <c r="O66" s="10">
        <f>23000-23000</f>
        <v>0</v>
      </c>
      <c r="P66" s="9">
        <f t="shared" si="2"/>
        <v>2365346</v>
      </c>
      <c r="R66" s="23"/>
    </row>
    <row r="67" spans="1:18" ht="25.5" x14ac:dyDescent="0.2">
      <c r="A67" s="5" t="s">
        <v>150</v>
      </c>
      <c r="B67" s="5" t="s">
        <v>19</v>
      </c>
      <c r="C67" s="5" t="s">
        <v>19</v>
      </c>
      <c r="D67" s="13" t="s">
        <v>164</v>
      </c>
      <c r="E67" s="6">
        <f>E68</f>
        <v>1654431</v>
      </c>
      <c r="F67" s="7">
        <f t="shared" ref="F67:O67" si="21">F68</f>
        <v>1654431</v>
      </c>
      <c r="G67" s="7">
        <f t="shared" si="21"/>
        <v>1200466</v>
      </c>
      <c r="H67" s="7">
        <f t="shared" si="21"/>
        <v>38979</v>
      </c>
      <c r="I67" s="7">
        <f t="shared" si="21"/>
        <v>0</v>
      </c>
      <c r="J67" s="6">
        <f t="shared" si="21"/>
        <v>663000</v>
      </c>
      <c r="K67" s="7">
        <f t="shared" si="21"/>
        <v>663000</v>
      </c>
      <c r="L67" s="7">
        <f t="shared" si="21"/>
        <v>0</v>
      </c>
      <c r="M67" s="7">
        <f t="shared" si="21"/>
        <v>0</v>
      </c>
      <c r="N67" s="7">
        <f t="shared" si="21"/>
        <v>0</v>
      </c>
      <c r="O67" s="7">
        <f t="shared" si="21"/>
        <v>663000</v>
      </c>
      <c r="P67" s="6">
        <f t="shared" si="2"/>
        <v>2317431</v>
      </c>
      <c r="R67" s="22">
        <v>1</v>
      </c>
    </row>
    <row r="68" spans="1:18" ht="25.5" x14ac:dyDescent="0.2">
      <c r="A68" s="5" t="s">
        <v>151</v>
      </c>
      <c r="B68" s="5" t="s">
        <v>19</v>
      </c>
      <c r="C68" s="5" t="s">
        <v>19</v>
      </c>
      <c r="D68" s="13" t="s">
        <v>165</v>
      </c>
      <c r="E68" s="6">
        <f t="shared" ref="E68:O68" si="22">SUM(E69:E72)</f>
        <v>1654431</v>
      </c>
      <c r="F68" s="7">
        <f>SUM(F69:F72)</f>
        <v>1654431</v>
      </c>
      <c r="G68" s="7">
        <f t="shared" si="22"/>
        <v>1200466</v>
      </c>
      <c r="H68" s="7">
        <f t="shared" si="22"/>
        <v>38979</v>
      </c>
      <c r="I68" s="7">
        <f t="shared" si="22"/>
        <v>0</v>
      </c>
      <c r="J68" s="6">
        <f t="shared" si="22"/>
        <v>663000</v>
      </c>
      <c r="K68" s="7">
        <f t="shared" si="22"/>
        <v>663000</v>
      </c>
      <c r="L68" s="7">
        <f t="shared" si="22"/>
        <v>0</v>
      </c>
      <c r="M68" s="7">
        <f t="shared" si="22"/>
        <v>0</v>
      </c>
      <c r="N68" s="7">
        <f t="shared" si="22"/>
        <v>0</v>
      </c>
      <c r="O68" s="7">
        <f t="shared" si="22"/>
        <v>663000</v>
      </c>
      <c r="P68" s="6">
        <f t="shared" si="2"/>
        <v>2317431</v>
      </c>
      <c r="R68" s="22">
        <v>1</v>
      </c>
    </row>
    <row r="69" spans="1:18" ht="38.25" x14ac:dyDescent="0.2">
      <c r="A69" s="3" t="s">
        <v>152</v>
      </c>
      <c r="B69" s="3" t="s">
        <v>103</v>
      </c>
      <c r="C69" s="3" t="s">
        <v>23</v>
      </c>
      <c r="D69" s="8" t="s">
        <v>104</v>
      </c>
      <c r="E69" s="9">
        <f t="shared" ref="E69" si="23">F69+I69</f>
        <v>1604431</v>
      </c>
      <c r="F69" s="10">
        <f>1165249+5000+110000+139282+130000+54900</f>
        <v>1604431</v>
      </c>
      <c r="G69" s="10">
        <f>823500+102000+117724+112242+45000</f>
        <v>1200466</v>
      </c>
      <c r="H69" s="10">
        <f>33979+5000</f>
        <v>38979</v>
      </c>
      <c r="I69" s="10">
        <v>0</v>
      </c>
      <c r="J69" s="9">
        <f t="shared" ref="J69:J72" si="24">L69+O69</f>
        <v>0</v>
      </c>
      <c r="K69" s="10">
        <v>0</v>
      </c>
      <c r="L69" s="10">
        <v>0</v>
      </c>
      <c r="M69" s="10">
        <v>0</v>
      </c>
      <c r="N69" s="10">
        <v>0</v>
      </c>
      <c r="O69" s="10">
        <v>0</v>
      </c>
      <c r="P69" s="9">
        <f t="shared" si="2"/>
        <v>1604431</v>
      </c>
      <c r="R69" s="23">
        <v>1</v>
      </c>
    </row>
    <row r="70" spans="1:18" hidden="1" x14ac:dyDescent="0.2">
      <c r="A70" s="3" t="s">
        <v>153</v>
      </c>
      <c r="B70" s="3" t="s">
        <v>154</v>
      </c>
      <c r="C70" s="3" t="s">
        <v>27</v>
      </c>
      <c r="D70" s="8" t="s">
        <v>155</v>
      </c>
      <c r="E70" s="9">
        <f>1000000-725984-274016</f>
        <v>0</v>
      </c>
      <c r="F70" s="10">
        <v>0</v>
      </c>
      <c r="G70" s="10">
        <v>0</v>
      </c>
      <c r="H70" s="10">
        <v>0</v>
      </c>
      <c r="I70" s="10">
        <v>0</v>
      </c>
      <c r="J70" s="9">
        <f t="shared" si="24"/>
        <v>0</v>
      </c>
      <c r="K70" s="10">
        <v>0</v>
      </c>
      <c r="L70" s="10">
        <v>0</v>
      </c>
      <c r="M70" s="10">
        <v>0</v>
      </c>
      <c r="N70" s="10">
        <v>0</v>
      </c>
      <c r="O70" s="10">
        <v>0</v>
      </c>
      <c r="P70" s="9">
        <f t="shared" si="2"/>
        <v>0</v>
      </c>
      <c r="R70" s="23"/>
    </row>
    <row r="71" spans="1:18" hidden="1" x14ac:dyDescent="0.2">
      <c r="A71" s="46">
        <v>3719770</v>
      </c>
      <c r="B71" s="46">
        <v>9770</v>
      </c>
      <c r="C71" s="46" t="s">
        <v>197</v>
      </c>
      <c r="D71" s="8" t="s">
        <v>198</v>
      </c>
      <c r="E71" s="9">
        <f>1000000-725984-274016</f>
        <v>0</v>
      </c>
      <c r="F71" s="10">
        <v>0</v>
      </c>
      <c r="G71" s="10">
        <v>0</v>
      </c>
      <c r="H71" s="10">
        <v>0</v>
      </c>
      <c r="I71" s="10">
        <v>0</v>
      </c>
      <c r="J71" s="9">
        <f t="shared" si="24"/>
        <v>513000</v>
      </c>
      <c r="K71" s="10">
        <f>22627+490373</f>
        <v>513000</v>
      </c>
      <c r="L71" s="10">
        <v>0</v>
      </c>
      <c r="M71" s="10">
        <v>0</v>
      </c>
      <c r="N71" s="10">
        <v>0</v>
      </c>
      <c r="O71" s="10">
        <f>22627+490373</f>
        <v>513000</v>
      </c>
      <c r="P71" s="9">
        <f t="shared" si="2"/>
        <v>513000</v>
      </c>
      <c r="R71" s="36"/>
    </row>
    <row r="72" spans="1:18" ht="60" customHeight="1" x14ac:dyDescent="0.2">
      <c r="A72" s="37">
        <v>3719800</v>
      </c>
      <c r="B72" s="37">
        <v>9800</v>
      </c>
      <c r="C72" s="37">
        <v>180</v>
      </c>
      <c r="D72" s="8" t="s">
        <v>189</v>
      </c>
      <c r="E72" s="9">
        <f>F72+I72</f>
        <v>50000</v>
      </c>
      <c r="F72" s="10">
        <v>50000</v>
      </c>
      <c r="G72" s="10">
        <v>0</v>
      </c>
      <c r="H72" s="10">
        <v>0</v>
      </c>
      <c r="I72" s="10"/>
      <c r="J72" s="9">
        <f t="shared" si="24"/>
        <v>150000</v>
      </c>
      <c r="K72" s="10">
        <v>150000</v>
      </c>
      <c r="L72" s="10">
        <v>0</v>
      </c>
      <c r="M72" s="10">
        <v>0</v>
      </c>
      <c r="N72" s="10">
        <v>0</v>
      </c>
      <c r="O72" s="10">
        <v>150000</v>
      </c>
      <c r="P72" s="9">
        <f t="shared" si="2"/>
        <v>200000</v>
      </c>
      <c r="R72" s="36">
        <v>1</v>
      </c>
    </row>
    <row r="73" spans="1:18" x14ac:dyDescent="0.2">
      <c r="A73" s="11" t="s">
        <v>157</v>
      </c>
      <c r="B73" s="11" t="s">
        <v>157</v>
      </c>
      <c r="C73" s="11" t="s">
        <v>157</v>
      </c>
      <c r="D73" s="12" t="s">
        <v>156</v>
      </c>
      <c r="E73" s="6">
        <f>E14+E42+E67</f>
        <v>267023118.09999999</v>
      </c>
      <c r="F73" s="6">
        <f t="shared" ref="F73:O73" si="25">F14+F42+F67</f>
        <v>253285147.16</v>
      </c>
      <c r="G73" s="6">
        <f t="shared" si="25"/>
        <v>164019389.44</v>
      </c>
      <c r="H73" s="6">
        <f t="shared" si="25"/>
        <v>23367562.02</v>
      </c>
      <c r="I73" s="6">
        <f t="shared" si="25"/>
        <v>13737970.940000001</v>
      </c>
      <c r="J73" s="6">
        <f t="shared" si="25"/>
        <v>8872823.6799999997</v>
      </c>
      <c r="K73" s="6">
        <f t="shared" si="25"/>
        <v>3155623.68</v>
      </c>
      <c r="L73" s="6">
        <f t="shared" si="25"/>
        <v>3734677</v>
      </c>
      <c r="M73" s="6">
        <f t="shared" si="25"/>
        <v>245000</v>
      </c>
      <c r="N73" s="6">
        <f t="shared" si="25"/>
        <v>0</v>
      </c>
      <c r="O73" s="6">
        <f t="shared" si="25"/>
        <v>5138146.68</v>
      </c>
      <c r="P73" s="6">
        <f t="shared" si="2"/>
        <v>275895941.77999997</v>
      </c>
      <c r="R73" s="22">
        <v>1</v>
      </c>
    </row>
    <row r="75" spans="1:18" x14ac:dyDescent="0.2">
      <c r="A75" s="53"/>
      <c r="B75" s="53"/>
      <c r="C75" s="53"/>
      <c r="D75" s="53"/>
      <c r="E75" s="53"/>
      <c r="F75" s="53"/>
      <c r="G75" s="53"/>
      <c r="H75" s="53"/>
      <c r="I75" s="53"/>
      <c r="J75" s="53"/>
      <c r="K75" s="53"/>
      <c r="L75" s="53"/>
      <c r="M75" s="53"/>
      <c r="N75" s="53"/>
      <c r="O75" s="53"/>
      <c r="P75" s="53"/>
    </row>
    <row r="77" spans="1:18" s="38" customFormat="1" x14ac:dyDescent="0.2">
      <c r="B77" s="39" t="s">
        <v>166</v>
      </c>
      <c r="C77" s="39"/>
      <c r="D77" s="39"/>
      <c r="E77" s="39"/>
      <c r="N77" s="39" t="s">
        <v>186</v>
      </c>
    </row>
    <row r="80" spans="1:18" ht="12.75" customHeight="1" x14ac:dyDescent="0.2"/>
    <row r="81" spans="4:16" hidden="1" x14ac:dyDescent="0.2">
      <c r="D81" t="s">
        <v>169</v>
      </c>
      <c r="E81" s="17">
        <v>259395811.38</v>
      </c>
      <c r="F81" s="17">
        <v>248207840.44</v>
      </c>
      <c r="G81" s="17">
        <v>162322695.44</v>
      </c>
      <c r="H81" s="17">
        <v>23059493.02</v>
      </c>
      <c r="I81" s="17">
        <v>11187970.940000001</v>
      </c>
      <c r="J81" s="17">
        <v>7337979.6799999997</v>
      </c>
      <c r="K81" s="17">
        <v>2760779.68</v>
      </c>
      <c r="L81" s="17">
        <v>3454600</v>
      </c>
      <c r="M81" s="17">
        <v>245000</v>
      </c>
      <c r="N81" s="17">
        <v>0</v>
      </c>
      <c r="O81" s="17">
        <v>3883379.68</v>
      </c>
      <c r="P81" s="17">
        <v>266733791.06</v>
      </c>
    </row>
    <row r="82" spans="4:16" hidden="1" x14ac:dyDescent="0.2">
      <c r="D82" t="s">
        <v>172</v>
      </c>
      <c r="E82" s="17">
        <f>E73-E81</f>
        <v>7627306.7199999988</v>
      </c>
      <c r="F82" s="17">
        <f t="shared" ref="F82:P82" si="26">F73-F81</f>
        <v>5077306.7199999988</v>
      </c>
      <c r="G82" s="17">
        <f t="shared" si="26"/>
        <v>1696694</v>
      </c>
      <c r="H82" s="17">
        <f t="shared" si="26"/>
        <v>308069</v>
      </c>
      <c r="I82" s="17">
        <f t="shared" si="26"/>
        <v>2550000</v>
      </c>
      <c r="J82" s="17">
        <f t="shared" si="26"/>
        <v>1534844</v>
      </c>
      <c r="K82" s="17">
        <f t="shared" si="26"/>
        <v>394844</v>
      </c>
      <c r="L82" s="17">
        <f t="shared" si="26"/>
        <v>280077</v>
      </c>
      <c r="M82" s="17">
        <f t="shared" si="26"/>
        <v>0</v>
      </c>
      <c r="N82" s="17">
        <f t="shared" si="26"/>
        <v>0</v>
      </c>
      <c r="O82" s="17">
        <f t="shared" si="26"/>
        <v>1254766.9999999995</v>
      </c>
      <c r="P82" s="17">
        <f t="shared" si="26"/>
        <v>9162150.719999969</v>
      </c>
    </row>
    <row r="83" spans="4:16" hidden="1" x14ac:dyDescent="0.2"/>
    <row r="84" spans="4:16" hidden="1" x14ac:dyDescent="0.2">
      <c r="E84">
        <v>3511976</v>
      </c>
      <c r="F84">
        <v>2961976</v>
      </c>
      <c r="G84">
        <v>701872</v>
      </c>
      <c r="H84">
        <v>25793</v>
      </c>
      <c r="I84">
        <v>500000</v>
      </c>
      <c r="J84">
        <v>1258020</v>
      </c>
      <c r="K84">
        <v>118020</v>
      </c>
      <c r="L84">
        <v>280077</v>
      </c>
      <c r="M84">
        <v>0</v>
      </c>
      <c r="N84">
        <v>0</v>
      </c>
      <c r="O84">
        <v>977943</v>
      </c>
      <c r="P84">
        <v>4769996</v>
      </c>
    </row>
    <row r="85" spans="4:16" hidden="1" x14ac:dyDescent="0.2">
      <c r="E85" s="17">
        <f>E84-E82</f>
        <v>-4115330.7199999988</v>
      </c>
      <c r="F85" s="17">
        <f>F84-F82</f>
        <v>-2115330.7199999988</v>
      </c>
      <c r="G85" s="17">
        <f t="shared" ref="G85:O85" si="27">G84-G82</f>
        <v>-994822</v>
      </c>
      <c r="H85" s="17">
        <f t="shared" si="27"/>
        <v>-282276</v>
      </c>
      <c r="I85" s="17">
        <f t="shared" si="27"/>
        <v>-2050000</v>
      </c>
      <c r="J85" s="17">
        <f t="shared" si="27"/>
        <v>-276824</v>
      </c>
      <c r="K85" s="17">
        <f t="shared" si="27"/>
        <v>-276824</v>
      </c>
      <c r="L85" s="17">
        <f t="shared" si="27"/>
        <v>0</v>
      </c>
      <c r="M85" s="17">
        <f t="shared" si="27"/>
        <v>0</v>
      </c>
      <c r="N85" s="17">
        <f t="shared" si="27"/>
        <v>0</v>
      </c>
      <c r="O85" s="17">
        <f t="shared" si="27"/>
        <v>-276823.99999999953</v>
      </c>
      <c r="P85" s="17">
        <f>P84-P82</f>
        <v>-4392154.719999969</v>
      </c>
    </row>
    <row r="86" spans="4:16" hidden="1" x14ac:dyDescent="0.2"/>
    <row r="87" spans="4:16" ht="12.75" customHeight="1" x14ac:dyDescent="0.2"/>
    <row r="88" spans="4:16" ht="12.75" customHeight="1" x14ac:dyDescent="0.2"/>
  </sheetData>
  <autoFilter ref="A13:R73">
    <filterColumn colId="17">
      <customFilters>
        <customFilter operator="notEqual" val=" "/>
      </customFilters>
    </filterColumn>
  </autoFilter>
  <mergeCells count="23">
    <mergeCell ref="A75:P75"/>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41" right="0.19685039370078741" top="0.39370078740157483" bottom="0.19685039370078741" header="0" footer="0"/>
  <pageSetup paperSize="9" scale="60" fitToHeight="500"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Дод3</vt:lpstr>
      <vt:lpstr>Дод3!Заголовки_для_друку</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Користувач Windows</cp:lastModifiedBy>
  <cp:lastPrinted>2024-11-08T13:30:52Z</cp:lastPrinted>
  <dcterms:created xsi:type="dcterms:W3CDTF">2023-12-14T13:15:24Z</dcterms:created>
  <dcterms:modified xsi:type="dcterms:W3CDTF">2024-12-17T13:05:54Z</dcterms:modified>
</cp:coreProperties>
</file>